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28" windowWidth="11088" windowHeight="7008" activeTab="0"/>
  </bookViews>
  <sheets>
    <sheet name="Prescribed Fire Analyzer" sheetId="1" r:id="rId1"/>
  </sheets>
  <definedNames/>
  <calcPr fullCalcOnLoad="1"/>
</workbook>
</file>

<file path=xl/sharedStrings.xml><?xml version="1.0" encoding="utf-8"?>
<sst xmlns="http://schemas.openxmlformats.org/spreadsheetml/2006/main" count="144" uniqueCount="115">
  <si>
    <t>B0</t>
  </si>
  <si>
    <t>BMIDWEST</t>
  </si>
  <si>
    <t>BTRAINBB</t>
  </si>
  <si>
    <t>BBURNS</t>
  </si>
  <si>
    <t>BACRES</t>
  </si>
  <si>
    <t>$250,000 - $1,000,000</t>
  </si>
  <si>
    <t>More than $1,000,000</t>
  </si>
  <si>
    <t>Grass</t>
  </si>
  <si>
    <t>Brush</t>
  </si>
  <si>
    <t>Timber</t>
  </si>
  <si>
    <t>Slash</t>
  </si>
  <si>
    <t>Never or Rarely</t>
  </si>
  <si>
    <t>A0</t>
  </si>
  <si>
    <t>SIGMA</t>
  </si>
  <si>
    <t>Escapes</t>
  </si>
  <si>
    <t>Probability</t>
  </si>
  <si>
    <t>Inverse Mill's Ratio</t>
  </si>
  <si>
    <t>probability</t>
  </si>
  <si>
    <t>BBRUSH33</t>
  </si>
  <si>
    <t>BSLASH33</t>
  </si>
  <si>
    <t>BTIMBER33</t>
  </si>
  <si>
    <t>BINCOME34</t>
  </si>
  <si>
    <t>BINCOME56</t>
  </si>
  <si>
    <t>BLOSZBIG</t>
  </si>
  <si>
    <t>BPOL123</t>
  </si>
  <si>
    <t>E[e]</t>
  </si>
  <si>
    <t>33% or Less</t>
  </si>
  <si>
    <t>Yes</t>
  </si>
  <si>
    <t>No</t>
  </si>
  <si>
    <t>Sometimes</t>
  </si>
  <si>
    <t>Often or Always</t>
  </si>
  <si>
    <t>What percentage of your burns are in</t>
  </si>
  <si>
    <t>Choose your average annual business income</t>
  </si>
  <si>
    <t>How many burns do you conduct in a year?</t>
  </si>
  <si>
    <t>How many total acres do you burn in a year?</t>
  </si>
  <si>
    <t>sum</t>
  </si>
  <si>
    <r>
      <t>q</t>
    </r>
    <r>
      <rPr>
        <sz val="10"/>
        <rFont val="Arial"/>
        <family val="0"/>
      </rPr>
      <t>W</t>
    </r>
  </si>
  <si>
    <t>BGRASS33</t>
  </si>
  <si>
    <t>var[e]</t>
  </si>
  <si>
    <t>m</t>
  </si>
  <si>
    <t>lm</t>
  </si>
  <si>
    <t>Escape Parameters and Calculations</t>
  </si>
  <si>
    <t>Parameter</t>
  </si>
  <si>
    <t>Estimate</t>
  </si>
  <si>
    <t>BCREWEXPER</t>
  </si>
  <si>
    <t>BAVGSIZE</t>
  </si>
  <si>
    <t>Regressor</t>
  </si>
  <si>
    <r>
      <t>b</t>
    </r>
    <r>
      <rPr>
        <sz val="10"/>
        <rFont val="Arial"/>
        <family val="0"/>
      </rPr>
      <t>X</t>
    </r>
  </si>
  <si>
    <t>LAMBDA</t>
  </si>
  <si>
    <t>Good</t>
  </si>
  <si>
    <t>Fair or Poor</t>
  </si>
  <si>
    <t>Excellent/Very Good</t>
  </si>
  <si>
    <r>
      <t>a</t>
    </r>
    <r>
      <rPr>
        <sz val="10"/>
        <rFont val="Arial"/>
        <family val="0"/>
      </rPr>
      <t>Z</t>
    </r>
  </si>
  <si>
    <t>Pr[d&gt;0]</t>
  </si>
  <si>
    <t>E[d|d&gt;0]</t>
  </si>
  <si>
    <t>E[d]</t>
  </si>
  <si>
    <t>More than 10 acres</t>
  </si>
  <si>
    <t>10 acres or fewer</t>
  </si>
  <si>
    <t>More than 33%</t>
  </si>
  <si>
    <t>Expected damage per year</t>
  </si>
  <si>
    <r>
      <t xml:space="preserve">What is the lower size range for your </t>
    </r>
    <r>
      <rPr>
        <b/>
        <u val="single"/>
        <sz val="10"/>
        <rFont val="Arial"/>
        <family val="2"/>
      </rPr>
      <t>typical</t>
    </r>
    <r>
      <rPr>
        <b/>
        <sz val="10"/>
        <rFont val="Arial"/>
        <family val="2"/>
      </rPr>
      <t xml:space="preserve"> prescribed burns?</t>
    </r>
  </si>
  <si>
    <t>What percentage of your business revenue is from</t>
  </si>
  <si>
    <r>
      <t xml:space="preserve">Consider the </t>
    </r>
    <r>
      <rPr>
        <b/>
        <u val="single"/>
        <sz val="10"/>
        <rFont val="Arial"/>
        <family val="2"/>
      </rPr>
      <t>Primary</t>
    </r>
    <r>
      <rPr>
        <b/>
        <sz val="10"/>
        <rFont val="Arial"/>
        <family val="2"/>
      </rPr>
      <t xml:space="preserve"> Fuel type of your burns:</t>
    </r>
  </si>
  <si>
    <t>Expected Escapes per Year</t>
  </si>
  <si>
    <r>
      <t>Escape Rate per burn (</t>
    </r>
    <r>
      <rPr>
        <sz val="10"/>
        <rFont val="Symbol"/>
        <family val="1"/>
      </rPr>
      <t>m</t>
    </r>
    <r>
      <rPr>
        <sz val="10"/>
        <rFont val="Arial"/>
        <family val="2"/>
      </rPr>
      <t>)</t>
    </r>
  </si>
  <si>
    <r>
      <t>Expected Escapes per year (n</t>
    </r>
    <r>
      <rPr>
        <sz val="10"/>
        <rFont val="Symbol"/>
        <family val="1"/>
      </rPr>
      <t>m</t>
    </r>
    <r>
      <rPr>
        <sz val="10"/>
        <rFont val="Arial"/>
        <family val="2"/>
      </rPr>
      <t>)</t>
    </r>
  </si>
  <si>
    <t>Expected Damage for an Escape</t>
  </si>
  <si>
    <t>Paul D. Mitchell, U of Wisc.-Madison, Ag. and Applied Econ., (608) 265-6514, pdmitchell@wisc.edu</t>
  </si>
  <si>
    <t>Prescribe Fire Escape and Damage Analyzer</t>
  </si>
  <si>
    <r>
      <t xml:space="preserve">1) Choose values by putting the cursor in each </t>
    </r>
    <r>
      <rPr>
        <b/>
        <u val="single"/>
        <sz val="10"/>
        <rFont val="Arial"/>
        <family val="2"/>
      </rPr>
      <t>orange</t>
    </r>
    <r>
      <rPr>
        <b/>
        <sz val="10"/>
        <rFont val="Arial"/>
        <family val="2"/>
      </rPr>
      <t xml:space="preserve"> cell using the pull-down menu</t>
    </r>
  </si>
  <si>
    <r>
      <t xml:space="preserve">2) Enter values in the two </t>
    </r>
    <r>
      <rPr>
        <b/>
        <u val="single"/>
        <sz val="10"/>
        <rFont val="Arial"/>
        <family val="2"/>
      </rPr>
      <t>red</t>
    </r>
    <r>
      <rPr>
        <b/>
        <sz val="10"/>
        <rFont val="Arial"/>
        <family val="2"/>
      </rPr>
      <t xml:space="preserve"> cells</t>
    </r>
  </si>
  <si>
    <r>
      <t xml:space="preserve">3) Results appear in </t>
    </r>
    <r>
      <rPr>
        <b/>
        <u val="single"/>
        <sz val="10"/>
        <rFont val="Arial"/>
        <family val="2"/>
      </rPr>
      <t>green</t>
    </r>
    <r>
      <rPr>
        <b/>
        <sz val="10"/>
        <rFont val="Arial"/>
        <family val="2"/>
      </rPr>
      <t xml:space="preserve"> cells</t>
    </r>
  </si>
  <si>
    <t>Do not Delete</t>
  </si>
  <si>
    <t>Expected Escape Rate per Burn</t>
  </si>
  <si>
    <t>Probability of Escapes</t>
  </si>
  <si>
    <t>w/ deduct</t>
  </si>
  <si>
    <t>Probability of Damage &gt; Deductible for an Escape</t>
  </si>
  <si>
    <t>Expected Payment for Escape when Damage &gt; Deductible</t>
  </si>
  <si>
    <r>
      <t>S(q</t>
    </r>
    <r>
      <rPr>
        <sz val="10"/>
        <rFont val="Arial"/>
        <family val="0"/>
      </rPr>
      <t>W)</t>
    </r>
  </si>
  <si>
    <r>
      <t>S(a</t>
    </r>
    <r>
      <rPr>
        <sz val="10"/>
        <rFont val="Arial"/>
        <family val="0"/>
      </rPr>
      <t>Z)</t>
    </r>
  </si>
  <si>
    <t>BBRNPALOF</t>
  </si>
  <si>
    <t>Does your burn boss have at least Burn Boss II certification</t>
  </si>
  <si>
    <t xml:space="preserve">    or state certification?</t>
  </si>
  <si>
    <t xml:space="preserve">    conducting prescribed burns?</t>
  </si>
  <si>
    <t>How many years of Fire Suppression Experience</t>
  </si>
  <si>
    <t xml:space="preserve">    does your burn boss have</t>
  </si>
  <si>
    <t>Choose the State/Region where you conduct burns</t>
  </si>
  <si>
    <t>How often do you use a written burn plan?</t>
  </si>
  <si>
    <t>in sparsely populated areas?</t>
  </si>
  <si>
    <t>on land next to public lands?</t>
  </si>
  <si>
    <t>What percentage of your prescribed burns are:</t>
  </si>
  <si>
    <t>25% or More</t>
  </si>
  <si>
    <t>Less than 25%</t>
  </si>
  <si>
    <t>10 years or More</t>
  </si>
  <si>
    <t>Fewer than 10 years</t>
  </si>
  <si>
    <t>Less than $250,000</t>
  </si>
  <si>
    <r>
      <t>S(b</t>
    </r>
    <r>
      <rPr>
        <sz val="10"/>
        <rFont val="Arial"/>
        <family val="0"/>
      </rPr>
      <t>X)</t>
    </r>
  </si>
  <si>
    <t>What level of knowledge and experience does your burn crew have?</t>
  </si>
  <si>
    <t>BWILDMT75</t>
  </si>
  <si>
    <t>BSPRSEMT75</t>
  </si>
  <si>
    <t>BBYPBLT75</t>
  </si>
  <si>
    <t>75% or Less</t>
  </si>
  <si>
    <t>More than 75%</t>
  </si>
  <si>
    <r>
      <t xml:space="preserve">Phi </t>
    </r>
    <r>
      <rPr>
        <sz val="10"/>
        <rFont val="Symbol"/>
        <family val="1"/>
      </rPr>
      <t>a</t>
    </r>
    <r>
      <rPr>
        <sz val="10"/>
        <rFont val="Arial"/>
        <family val="0"/>
      </rPr>
      <t>Z</t>
    </r>
  </si>
  <si>
    <r>
      <t xml:space="preserve">Phi </t>
    </r>
    <r>
      <rPr>
        <sz val="10"/>
        <rFont val="Symbol"/>
        <family val="1"/>
      </rPr>
      <t>b</t>
    </r>
    <r>
      <rPr>
        <sz val="10"/>
        <rFont val="Arial"/>
        <family val="0"/>
      </rPr>
      <t>X/</t>
    </r>
    <r>
      <rPr>
        <sz val="10"/>
        <rFont val="Symbol"/>
        <family val="1"/>
      </rPr>
      <t>s</t>
    </r>
  </si>
  <si>
    <r>
      <t xml:space="preserve">phi </t>
    </r>
    <r>
      <rPr>
        <sz val="10"/>
        <rFont val="Symbol"/>
        <family val="1"/>
      </rPr>
      <t>b</t>
    </r>
    <r>
      <rPr>
        <sz val="10"/>
        <rFont val="Arial"/>
        <family val="0"/>
      </rPr>
      <t>X/</t>
    </r>
    <r>
      <rPr>
        <sz val="10"/>
        <rFont val="Symbol"/>
        <family val="1"/>
      </rPr>
      <t>s</t>
    </r>
  </si>
  <si>
    <t>Enter the deductible per loss event (0 if no insurance)</t>
  </si>
  <si>
    <t>Expected Damage per Year (Actuarially Fair Premium)</t>
  </si>
  <si>
    <t>BSOUTH</t>
  </si>
  <si>
    <t>Midwest (IA, MN, WI, MO)</t>
  </si>
  <si>
    <t>South (TX, FL, VA)</t>
  </si>
  <si>
    <t>West (OR)</t>
  </si>
  <si>
    <t>in the wildland-urban interface?</t>
  </si>
  <si>
    <t>BBRNMT25</t>
  </si>
  <si>
    <t>BSURPSMT10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</si>
</sst>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  <numFmt numFmtId="167" formatCode="0.00000"/>
    <numFmt numFmtId="168" formatCode="0.0"/>
    <numFmt numFmtId="169" formatCode="0.00000000"/>
    <numFmt numFmtId="170" formatCode="0.0000000"/>
    <numFmt numFmtId="171" formatCode="&quot;$&quot;#,##0.00"/>
    <numFmt numFmtId="172" formatCode="0.0%"/>
    <numFmt numFmtId="173" formatCode="&quot;$&quot;#,##0.000"/>
    <numFmt numFmtId="174" formatCode="0.0000E+00"/>
    <numFmt numFmtId="175" formatCode="0.000E+00"/>
    <numFmt numFmtId="176" formatCode="0.0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/>
    </xf>
    <xf numFmtId="164" fontId="2" fillId="2" borderId="0" xfId="0" applyNumberFormat="1" applyFont="1" applyFill="1" applyAlignment="1">
      <alignment horizontal="right"/>
    </xf>
    <xf numFmtId="17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172" fontId="2" fillId="2" borderId="0" xfId="21" applyNumberFormat="1" applyFont="1" applyFill="1" applyAlignment="1">
      <alignment horizontal="center"/>
    </xf>
    <xf numFmtId="172" fontId="2" fillId="2" borderId="0" xfId="21" applyNumberFormat="1" applyFont="1" applyFill="1" applyAlignment="1">
      <alignment horizontal="right"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21" applyNumberFormat="1" applyAlignment="1">
      <alignment horizontal="center"/>
    </xf>
    <xf numFmtId="0" fontId="7" fillId="0" borderId="0" xfId="0" applyFont="1" applyAlignment="1">
      <alignment horizontal="right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Font="1" applyAlignment="1">
      <alignment/>
    </xf>
    <xf numFmtId="2" fontId="0" fillId="2" borderId="0" xfId="0" applyNumberFormat="1" applyFill="1" applyAlignment="1">
      <alignment/>
    </xf>
    <xf numFmtId="11" fontId="0" fillId="0" borderId="0" xfId="0" applyNumberFormat="1" applyAlignment="1">
      <alignment/>
    </xf>
    <xf numFmtId="17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29.421875" style="20" customWidth="1"/>
    <col min="4" max="4" width="24.00390625" style="0" bestFit="1" customWidth="1"/>
    <col min="6" max="7" width="10.7109375" style="0" customWidth="1"/>
    <col min="8" max="10" width="10.8515625" style="0" customWidth="1"/>
    <col min="11" max="11" width="8.00390625" style="20" customWidth="1"/>
    <col min="12" max="12" width="13.57421875" style="0" customWidth="1"/>
    <col min="14" max="14" width="9.57421875" style="0" bestFit="1" customWidth="1"/>
    <col min="15" max="15" width="10.28125" style="0" bestFit="1" customWidth="1"/>
    <col min="16" max="16" width="6.7109375" style="0" customWidth="1"/>
    <col min="19" max="19" width="10.28125" style="0" bestFit="1" customWidth="1"/>
    <col min="21" max="21" width="12.57421875" style="0" bestFit="1" customWidth="1"/>
    <col min="22" max="22" width="24.00390625" style="20" bestFit="1" customWidth="1"/>
  </cols>
  <sheetData>
    <row r="1" spans="1:22" ht="15">
      <c r="A1" s="16" t="s">
        <v>68</v>
      </c>
      <c r="L1" t="s">
        <v>41</v>
      </c>
      <c r="V1" s="28" t="s">
        <v>72</v>
      </c>
    </row>
    <row r="2" spans="1:20" ht="15">
      <c r="A2" s="16" t="s">
        <v>67</v>
      </c>
      <c r="L2" t="s">
        <v>42</v>
      </c>
      <c r="M2" s="1" t="s">
        <v>43</v>
      </c>
      <c r="N2" s="1" t="s">
        <v>46</v>
      </c>
      <c r="O2" s="22" t="s">
        <v>36</v>
      </c>
      <c r="Q2" s="20" t="s">
        <v>14</v>
      </c>
      <c r="R2" s="20" t="s">
        <v>17</v>
      </c>
      <c r="S2" s="20"/>
      <c r="T2" s="20"/>
    </row>
    <row r="3" spans="1:20" ht="12.75">
      <c r="A3" s="2" t="s">
        <v>69</v>
      </c>
      <c r="L3" t="s">
        <v>0</v>
      </c>
      <c r="M3">
        <v>-6.74716</v>
      </c>
      <c r="N3" s="20">
        <v>1</v>
      </c>
      <c r="O3">
        <f aca="true" t="shared" si="0" ref="O3:O19">M3*N3</f>
        <v>-6.74716</v>
      </c>
      <c r="Q3" s="20">
        <v>0</v>
      </c>
      <c r="R3" s="21">
        <f>($N$17*$O$21/((1+$M$20)^Q3))*(($N$17*$O$21+$M$20*Q3)^(Q3-1))*EXP(-($N$17*$O$21+$M$20*Q3)/(1+$M$20))/FACT(Q3)</f>
        <v>0.9049912437084981</v>
      </c>
      <c r="S3" s="21"/>
      <c r="T3" s="21"/>
    </row>
    <row r="4" spans="1:22" ht="12.75">
      <c r="A4" s="2" t="s">
        <v>70</v>
      </c>
      <c r="F4" s="7" t="s">
        <v>73</v>
      </c>
      <c r="G4" s="8"/>
      <c r="H4" s="8"/>
      <c r="I4" s="8"/>
      <c r="J4" s="8"/>
      <c r="L4" t="s">
        <v>1</v>
      </c>
      <c r="M4">
        <v>2.23727</v>
      </c>
      <c r="N4" s="20">
        <f>IF(D7=V4,1,0)</f>
        <v>0</v>
      </c>
      <c r="O4">
        <f t="shared" si="0"/>
        <v>0</v>
      </c>
      <c r="Q4" s="20">
        <v>1</v>
      </c>
      <c r="R4" s="21">
        <f aca="true" t="shared" si="1" ref="R4:R13">($N$17*$O$21/((1+$M$20)^Q4))*(($N$17*$O$21+$M$20*Q4)^(Q4-1))*EXP(-($N$17*$O$21+$M$20*Q4)/(1+$M$20))/FACT(Q4)</f>
        <v>0.08143933630392947</v>
      </c>
      <c r="S4" s="21"/>
      <c r="T4" s="21"/>
      <c r="V4" s="18" t="s">
        <v>109</v>
      </c>
    </row>
    <row r="5" spans="1:22" ht="12.75">
      <c r="A5" s="2" t="s">
        <v>71</v>
      </c>
      <c r="F5" s="9">
        <f>O25</f>
        <v>0.022278025275722837</v>
      </c>
      <c r="G5" s="8"/>
      <c r="H5" s="8"/>
      <c r="I5" s="8"/>
      <c r="J5" s="8"/>
      <c r="L5" t="s">
        <v>108</v>
      </c>
      <c r="M5">
        <v>3.66687</v>
      </c>
      <c r="N5" s="20">
        <f>IF(D7=V6,1,0)</f>
        <v>1</v>
      </c>
      <c r="O5">
        <f t="shared" si="0"/>
        <v>3.66687</v>
      </c>
      <c r="Q5" s="20">
        <v>2</v>
      </c>
      <c r="R5" s="21">
        <f t="shared" si="1"/>
        <v>0.011282983037887905</v>
      </c>
      <c r="S5" s="21"/>
      <c r="T5" s="21"/>
      <c r="V5" s="18" t="s">
        <v>111</v>
      </c>
    </row>
    <row r="6" spans="12:22" ht="12.75">
      <c r="L6" t="s">
        <v>113</v>
      </c>
      <c r="M6">
        <v>-0.677835</v>
      </c>
      <c r="N6" s="20">
        <f>IF(D12=V14,1,0)</f>
        <v>0</v>
      </c>
      <c r="O6">
        <f t="shared" si="0"/>
        <v>0</v>
      </c>
      <c r="Q6" s="20">
        <v>3</v>
      </c>
      <c r="R6" s="21">
        <f t="shared" si="1"/>
        <v>0.0018646015690752824</v>
      </c>
      <c r="S6" s="21"/>
      <c r="T6" s="21"/>
      <c r="V6" s="18" t="s">
        <v>110</v>
      </c>
    </row>
    <row r="7" spans="1:22" ht="12.75">
      <c r="A7" s="2" t="s">
        <v>86</v>
      </c>
      <c r="D7" s="23" t="s">
        <v>110</v>
      </c>
      <c r="F7" s="7" t="s">
        <v>63</v>
      </c>
      <c r="G7" s="8"/>
      <c r="H7" s="8"/>
      <c r="I7" s="8"/>
      <c r="J7" s="8"/>
      <c r="L7" t="s">
        <v>114</v>
      </c>
      <c r="M7">
        <v>0.631623</v>
      </c>
      <c r="N7" s="20">
        <f>IF(D32=V33,1,0)</f>
        <v>1</v>
      </c>
      <c r="O7">
        <f t="shared" si="0"/>
        <v>0.631623</v>
      </c>
      <c r="Q7" s="20">
        <v>4</v>
      </c>
      <c r="R7" s="21">
        <f t="shared" si="1"/>
        <v>0.00033939760711418934</v>
      </c>
      <c r="S7" s="21"/>
      <c r="T7" s="21"/>
      <c r="V7" s="18"/>
    </row>
    <row r="8" spans="6:22" ht="12.75">
      <c r="F8" s="9">
        <f>O22</f>
        <v>0.11139012637861419</v>
      </c>
      <c r="G8" s="8"/>
      <c r="H8" s="8"/>
      <c r="I8" s="8"/>
      <c r="J8" s="8"/>
      <c r="L8" t="s">
        <v>21</v>
      </c>
      <c r="M8">
        <v>1.05413</v>
      </c>
      <c r="N8" s="20">
        <f>IF(D9=V11,1,0)</f>
        <v>0</v>
      </c>
      <c r="O8">
        <f t="shared" si="0"/>
        <v>0</v>
      </c>
      <c r="Q8" s="20">
        <v>5</v>
      </c>
      <c r="R8" s="21">
        <f t="shared" si="1"/>
        <v>6.567176842673282E-05</v>
      </c>
      <c r="S8" s="21"/>
      <c r="T8" s="21"/>
      <c r="V8" s="18"/>
    </row>
    <row r="9" spans="1:20" ht="12.75">
      <c r="A9" s="2" t="s">
        <v>32</v>
      </c>
      <c r="B9" s="2"/>
      <c r="D9" s="23" t="s">
        <v>95</v>
      </c>
      <c r="F9" s="6"/>
      <c r="G9" s="5"/>
      <c r="L9" t="s">
        <v>22</v>
      </c>
      <c r="M9">
        <v>1.43581</v>
      </c>
      <c r="N9" s="20">
        <f>IF(D9=V12,1,0)</f>
        <v>0</v>
      </c>
      <c r="O9">
        <f t="shared" si="0"/>
        <v>0</v>
      </c>
      <c r="Q9" s="20">
        <v>6</v>
      </c>
      <c r="R9" s="21">
        <f t="shared" si="1"/>
        <v>1.325478051940337E-05</v>
      </c>
      <c r="S9" s="21"/>
      <c r="T9" s="21"/>
    </row>
    <row r="10" spans="6:22" ht="12.75">
      <c r="F10" s="7" t="s">
        <v>76</v>
      </c>
      <c r="G10" s="8"/>
      <c r="H10" s="8"/>
      <c r="I10" s="8"/>
      <c r="J10" s="8"/>
      <c r="L10" t="s">
        <v>18</v>
      </c>
      <c r="M10">
        <v>-0.731022</v>
      </c>
      <c r="N10" s="20">
        <f>IF(D39=V17,1,0)</f>
        <v>0</v>
      </c>
      <c r="O10">
        <f t="shared" si="0"/>
        <v>0</v>
      </c>
      <c r="Q10" s="20">
        <v>7</v>
      </c>
      <c r="R10" s="21">
        <f t="shared" si="1"/>
        <v>2.759183941427014E-06</v>
      </c>
      <c r="S10" s="21"/>
      <c r="T10" s="21"/>
      <c r="V10" s="18" t="s">
        <v>95</v>
      </c>
    </row>
    <row r="11" spans="1:22" ht="12.75">
      <c r="A11" s="2" t="s">
        <v>61</v>
      </c>
      <c r="F11" s="15">
        <f>O51</f>
        <v>0.513884434550308</v>
      </c>
      <c r="G11" s="8"/>
      <c r="H11" s="8"/>
      <c r="I11" s="8"/>
      <c r="J11" s="8"/>
      <c r="L11" t="s">
        <v>19</v>
      </c>
      <c r="M11">
        <v>1.00436</v>
      </c>
      <c r="N11" s="20">
        <f>IF(D41=V17,1,0)</f>
        <v>0</v>
      </c>
      <c r="O11">
        <f t="shared" si="0"/>
        <v>0</v>
      </c>
      <c r="Q11" s="20">
        <v>8</v>
      </c>
      <c r="R11" s="21">
        <f t="shared" si="1"/>
        <v>5.880789524981581E-07</v>
      </c>
      <c r="S11" s="21"/>
      <c r="T11" s="21"/>
      <c r="V11" s="18" t="s">
        <v>5</v>
      </c>
    </row>
    <row r="12" spans="1:22" ht="12.75">
      <c r="A12" s="29" t="s">
        <v>83</v>
      </c>
      <c r="D12" s="23" t="s">
        <v>92</v>
      </c>
      <c r="F12" s="6"/>
      <c r="G12" s="5"/>
      <c r="L12" t="s">
        <v>20</v>
      </c>
      <c r="M12">
        <v>-1.37001</v>
      </c>
      <c r="N12" s="20">
        <f>IF(D40=V17,1,0)</f>
        <v>1</v>
      </c>
      <c r="O12">
        <f t="shared" si="0"/>
        <v>-1.37001</v>
      </c>
      <c r="Q12" s="20">
        <v>9</v>
      </c>
      <c r="R12" s="21">
        <f t="shared" si="1"/>
        <v>1.2769516011739866E-07</v>
      </c>
      <c r="S12" s="21"/>
      <c r="T12" s="21"/>
      <c r="V12" s="18" t="s">
        <v>6</v>
      </c>
    </row>
    <row r="13" spans="6:22" ht="12.75">
      <c r="F13" s="7" t="s">
        <v>77</v>
      </c>
      <c r="G13" s="8"/>
      <c r="H13" s="8"/>
      <c r="I13" s="8"/>
      <c r="J13" s="8"/>
      <c r="L13" t="s">
        <v>37</v>
      </c>
      <c r="M13">
        <v>0.119093</v>
      </c>
      <c r="N13" s="20">
        <f>IF(D42=V17,1,0)</f>
        <v>1</v>
      </c>
      <c r="O13">
        <f t="shared" si="0"/>
        <v>0.119093</v>
      </c>
      <c r="Q13" s="20">
        <v>10</v>
      </c>
      <c r="R13" s="21">
        <f t="shared" si="1"/>
        <v>2.8148419784421343E-08</v>
      </c>
      <c r="S13" s="21"/>
      <c r="T13" s="21"/>
      <c r="V13" s="18"/>
    </row>
    <row r="14" spans="1:22" ht="12.75">
      <c r="A14" s="2" t="s">
        <v>33</v>
      </c>
      <c r="D14" s="24">
        <v>5</v>
      </c>
      <c r="F14" s="10">
        <f>O52</f>
        <v>24204.449999999997</v>
      </c>
      <c r="G14" s="8"/>
      <c r="H14" s="8"/>
      <c r="I14" s="8"/>
      <c r="J14" s="8"/>
      <c r="L14" t="s">
        <v>2</v>
      </c>
      <c r="M14">
        <v>0.365173</v>
      </c>
      <c r="N14" s="20">
        <f>IF(D29=V23,1,0)</f>
        <v>1</v>
      </c>
      <c r="O14">
        <f t="shared" si="0"/>
        <v>0.365173</v>
      </c>
      <c r="Q14" s="20"/>
      <c r="R14" s="20"/>
      <c r="S14" s="20"/>
      <c r="T14" s="20"/>
      <c r="V14" s="18" t="s">
        <v>91</v>
      </c>
    </row>
    <row r="15" spans="6:22" ht="12.75">
      <c r="F15" s="6"/>
      <c r="G15" s="5"/>
      <c r="L15" t="s">
        <v>98</v>
      </c>
      <c r="M15">
        <v>-0.84722</v>
      </c>
      <c r="N15" s="20">
        <f>IF(D19=V20,1,0)</f>
        <v>0</v>
      </c>
      <c r="O15">
        <f t="shared" si="0"/>
        <v>0</v>
      </c>
      <c r="Q15" s="20" t="s">
        <v>35</v>
      </c>
      <c r="R15" s="20">
        <f>SUM(R3:R13)</f>
        <v>0.999999991881925</v>
      </c>
      <c r="S15" s="20"/>
      <c r="T15" s="20"/>
      <c r="V15" s="18" t="s">
        <v>92</v>
      </c>
    </row>
    <row r="16" spans="1:22" ht="12.75">
      <c r="A16" s="2" t="s">
        <v>90</v>
      </c>
      <c r="F16" s="7" t="s">
        <v>66</v>
      </c>
      <c r="G16" s="8"/>
      <c r="H16" s="8"/>
      <c r="I16" s="8"/>
      <c r="J16" s="8"/>
      <c r="L16" t="s">
        <v>24</v>
      </c>
      <c r="M16">
        <v>0.384484</v>
      </c>
      <c r="N16" s="20">
        <v>1</v>
      </c>
      <c r="O16">
        <f t="shared" si="0"/>
        <v>0.384484</v>
      </c>
      <c r="V16" s="18"/>
    </row>
    <row r="17" spans="2:22" ht="12.75">
      <c r="B17" s="29" t="s">
        <v>88</v>
      </c>
      <c r="D17" s="23" t="s">
        <v>101</v>
      </c>
      <c r="F17" s="10">
        <f>F11*F14</f>
        <v>12438.2901018512</v>
      </c>
      <c r="G17" s="8"/>
      <c r="H17" s="8"/>
      <c r="I17" s="8"/>
      <c r="J17" s="8"/>
      <c r="L17" t="s">
        <v>3</v>
      </c>
      <c r="M17">
        <v>-0.020077</v>
      </c>
      <c r="N17" s="20">
        <f>D14</f>
        <v>5</v>
      </c>
      <c r="O17">
        <f t="shared" si="0"/>
        <v>-0.100385</v>
      </c>
      <c r="V17" s="18" t="s">
        <v>58</v>
      </c>
    </row>
    <row r="18" spans="12:22" ht="12.75">
      <c r="L18" t="s">
        <v>4</v>
      </c>
      <c r="M18">
        <v>0.045422</v>
      </c>
      <c r="N18" s="20">
        <f>D23/1000</f>
        <v>0.25</v>
      </c>
      <c r="O18">
        <f t="shared" si="0"/>
        <v>0.0113555</v>
      </c>
      <c r="V18" s="18" t="s">
        <v>26</v>
      </c>
    </row>
    <row r="19" spans="1:15" ht="12.75">
      <c r="A19" s="2"/>
      <c r="B19" s="2" t="s">
        <v>112</v>
      </c>
      <c r="D19" s="23" t="s">
        <v>101</v>
      </c>
      <c r="F19" s="7" t="s">
        <v>107</v>
      </c>
      <c r="G19" s="8"/>
      <c r="H19" s="8"/>
      <c r="I19" s="8"/>
      <c r="J19" s="8"/>
      <c r="L19" t="s">
        <v>80</v>
      </c>
      <c r="M19">
        <v>-0.765198</v>
      </c>
      <c r="N19" s="20">
        <f>IF(D37=V28,1,0)</f>
        <v>1</v>
      </c>
      <c r="O19">
        <f t="shared" si="0"/>
        <v>-0.765198</v>
      </c>
    </row>
    <row r="20" spans="6:22" ht="12.75">
      <c r="F20" s="10">
        <f>F8*F11*F14</f>
        <v>1385.5027063790712</v>
      </c>
      <c r="G20" s="34"/>
      <c r="H20" s="8"/>
      <c r="I20" s="8"/>
      <c r="J20" s="8"/>
      <c r="L20" t="s">
        <v>48</v>
      </c>
      <c r="M20">
        <v>0.115798</v>
      </c>
      <c r="N20" s="19" t="s">
        <v>78</v>
      </c>
      <c r="O20" s="30">
        <f>SUM(O3:O19)</f>
        <v>-3.8041545</v>
      </c>
      <c r="V20" s="18" t="s">
        <v>102</v>
      </c>
    </row>
    <row r="21" spans="2:22" ht="12.75">
      <c r="B21" s="29" t="s">
        <v>89</v>
      </c>
      <c r="D21" s="23" t="s">
        <v>101</v>
      </c>
      <c r="F21" s="5"/>
      <c r="G21" s="5"/>
      <c r="N21" s="19" t="s">
        <v>39</v>
      </c>
      <c r="O21" s="31">
        <f>EXP(O20)</f>
        <v>0.022278025275722837</v>
      </c>
      <c r="V21" s="18" t="s">
        <v>101</v>
      </c>
    </row>
    <row r="22" spans="1:15" ht="12.75">
      <c r="A22" s="2"/>
      <c r="F22" s="11" t="s">
        <v>74</v>
      </c>
      <c r="G22" s="12"/>
      <c r="N22" s="4" t="s">
        <v>25</v>
      </c>
      <c r="O22" s="30">
        <f>N17*EXP(O20)</f>
        <v>0.11139012637861419</v>
      </c>
    </row>
    <row r="23" spans="1:22" ht="12.75">
      <c r="A23" s="2" t="s">
        <v>34</v>
      </c>
      <c r="B23" s="18"/>
      <c r="D23" s="24">
        <v>250</v>
      </c>
      <c r="F23" s="11" t="s">
        <v>14</v>
      </c>
      <c r="G23" s="12" t="s">
        <v>15</v>
      </c>
      <c r="N23" s="20" t="s">
        <v>38</v>
      </c>
      <c r="O23" s="32">
        <f>N17*O21*(1+M20)^2</f>
        <v>0.13868128398622648</v>
      </c>
      <c r="V23" s="18" t="s">
        <v>27</v>
      </c>
    </row>
    <row r="24" spans="6:22" ht="12.75">
      <c r="F24" s="13">
        <v>0</v>
      </c>
      <c r="G24" s="14">
        <f aca="true" t="shared" si="2" ref="G24:G34">R3</f>
        <v>0.9049912437084981</v>
      </c>
      <c r="N24" s="19" t="s">
        <v>40</v>
      </c>
      <c r="O24" s="32">
        <f>O21*M20</f>
        <v>0.002579750770878153</v>
      </c>
      <c r="V24" s="18" t="s">
        <v>28</v>
      </c>
    </row>
    <row r="25" spans="1:22" ht="12.75">
      <c r="A25" s="2" t="s">
        <v>60</v>
      </c>
      <c r="F25" s="13">
        <v>1</v>
      </c>
      <c r="G25" s="14">
        <f t="shared" si="2"/>
        <v>0.08143933630392947</v>
      </c>
      <c r="N25" s="27" t="s">
        <v>64</v>
      </c>
      <c r="O25" s="33">
        <f>O21</f>
        <v>0.022278025275722837</v>
      </c>
      <c r="V25" s="18"/>
    </row>
    <row r="26" spans="4:22" ht="12.75">
      <c r="D26" s="23" t="s">
        <v>56</v>
      </c>
      <c r="F26" s="13">
        <v>2</v>
      </c>
      <c r="G26" s="14">
        <f t="shared" si="2"/>
        <v>0.011282983037887905</v>
      </c>
      <c r="N26" s="27" t="s">
        <v>65</v>
      </c>
      <c r="O26" s="33">
        <f>O22</f>
        <v>0.11139012637861419</v>
      </c>
      <c r="V26" s="18" t="s">
        <v>11</v>
      </c>
    </row>
    <row r="27" spans="6:22" ht="12.75">
      <c r="F27" s="13">
        <v>3</v>
      </c>
      <c r="G27" s="14">
        <f t="shared" si="2"/>
        <v>0.0018646015690752824</v>
      </c>
      <c r="M27" s="2"/>
      <c r="V27" s="18" t="s">
        <v>29</v>
      </c>
    </row>
    <row r="28" spans="1:22" ht="12.75">
      <c r="A28" s="2" t="s">
        <v>81</v>
      </c>
      <c r="F28" s="13">
        <v>4</v>
      </c>
      <c r="G28" s="14">
        <f t="shared" si="2"/>
        <v>0.00033939760711418934</v>
      </c>
      <c r="L28" t="s">
        <v>42</v>
      </c>
      <c r="M28" s="1" t="s">
        <v>43</v>
      </c>
      <c r="N28" s="1" t="s">
        <v>46</v>
      </c>
      <c r="O28" s="22" t="s">
        <v>52</v>
      </c>
      <c r="V28" s="18" t="s">
        <v>30</v>
      </c>
    </row>
    <row r="29" spans="1:15" ht="12.75">
      <c r="A29" s="2" t="s">
        <v>82</v>
      </c>
      <c r="D29" s="23" t="s">
        <v>27</v>
      </c>
      <c r="F29" s="13">
        <v>5</v>
      </c>
      <c r="G29" s="14">
        <f t="shared" si="2"/>
        <v>6.567176842673282E-05</v>
      </c>
      <c r="L29" t="s">
        <v>12</v>
      </c>
      <c r="M29">
        <v>-1.29722</v>
      </c>
      <c r="N29">
        <v>1</v>
      </c>
      <c r="O29">
        <f>M29*N29</f>
        <v>-1.29722</v>
      </c>
    </row>
    <row r="30" spans="6:22" ht="12.75">
      <c r="F30" s="13">
        <v>6</v>
      </c>
      <c r="G30" s="14">
        <f t="shared" si="2"/>
        <v>1.325478051940337E-05</v>
      </c>
      <c r="L30" t="s">
        <v>108</v>
      </c>
      <c r="M30">
        <v>1.33203</v>
      </c>
      <c r="N30">
        <f>IF(D7=V6,1,0)</f>
        <v>1</v>
      </c>
      <c r="O30">
        <f>M30*N30</f>
        <v>1.33203</v>
      </c>
      <c r="V30" s="18" t="s">
        <v>56</v>
      </c>
    </row>
    <row r="31" spans="1:22" ht="12.75">
      <c r="A31" s="2" t="s">
        <v>84</v>
      </c>
      <c r="F31" s="13">
        <v>7</v>
      </c>
      <c r="G31" s="14">
        <f t="shared" si="2"/>
        <v>2.759183941427014E-06</v>
      </c>
      <c r="N31" s="22" t="s">
        <v>79</v>
      </c>
      <c r="O31">
        <f>SUM(O29:O30)</f>
        <v>0.03481000000000001</v>
      </c>
      <c r="V31" s="18" t="s">
        <v>57</v>
      </c>
    </row>
    <row r="32" spans="1:7" ht="12.75">
      <c r="A32" s="2" t="s">
        <v>85</v>
      </c>
      <c r="D32" s="23" t="s">
        <v>93</v>
      </c>
      <c r="F32" s="13">
        <v>8</v>
      </c>
      <c r="G32" s="14">
        <f t="shared" si="2"/>
        <v>5.880789524981581E-07</v>
      </c>
    </row>
    <row r="33" spans="6:22" ht="12.75">
      <c r="F33" s="13">
        <v>9</v>
      </c>
      <c r="G33" s="14">
        <f t="shared" si="2"/>
        <v>1.2769516011739866E-07</v>
      </c>
      <c r="L33" t="s">
        <v>42</v>
      </c>
      <c r="M33" s="1" t="s">
        <v>43</v>
      </c>
      <c r="N33" s="1" t="s">
        <v>46</v>
      </c>
      <c r="O33" s="22" t="s">
        <v>47</v>
      </c>
      <c r="V33" s="18" t="s">
        <v>93</v>
      </c>
    </row>
    <row r="34" spans="1:22" ht="12.75">
      <c r="A34" s="2" t="s">
        <v>97</v>
      </c>
      <c r="F34" s="13">
        <v>10</v>
      </c>
      <c r="G34" s="14">
        <f t="shared" si="2"/>
        <v>2.8148419784421343E-08</v>
      </c>
      <c r="L34" t="s">
        <v>0</v>
      </c>
      <c r="M34">
        <v>-15051.6</v>
      </c>
      <c r="N34">
        <v>1</v>
      </c>
      <c r="O34">
        <f aca="true" t="shared" si="3" ref="O34:O44">M34*N34</f>
        <v>-15051.6</v>
      </c>
      <c r="V34" s="18" t="s">
        <v>94</v>
      </c>
    </row>
    <row r="35" spans="4:15" ht="12.75">
      <c r="D35" s="23" t="s">
        <v>51</v>
      </c>
      <c r="L35" t="s">
        <v>45</v>
      </c>
      <c r="M35">
        <v>-48.2482</v>
      </c>
      <c r="N35">
        <f>D23/D14</f>
        <v>50</v>
      </c>
      <c r="O35">
        <f t="shared" si="3"/>
        <v>-2412.41</v>
      </c>
    </row>
    <row r="36" spans="12:22" ht="12.75">
      <c r="L36" t="s">
        <v>20</v>
      </c>
      <c r="M36">
        <v>24663.4</v>
      </c>
      <c r="N36">
        <f>IF(D40=V17,1,0)</f>
        <v>1</v>
      </c>
      <c r="O36">
        <f t="shared" si="3"/>
        <v>24663.4</v>
      </c>
      <c r="Q36" s="1"/>
      <c r="R36" s="1"/>
      <c r="S36" s="1"/>
      <c r="T36" s="1"/>
      <c r="V36" s="18" t="s">
        <v>51</v>
      </c>
    </row>
    <row r="37" spans="1:22" ht="12.75">
      <c r="A37" s="2" t="s">
        <v>87</v>
      </c>
      <c r="B37" s="2"/>
      <c r="D37" s="23" t="s">
        <v>30</v>
      </c>
      <c r="L37" t="s">
        <v>19</v>
      </c>
      <c r="M37">
        <v>11840.6</v>
      </c>
      <c r="N37">
        <f>IF(D41=V17,1,0)</f>
        <v>0</v>
      </c>
      <c r="O37">
        <f t="shared" si="3"/>
        <v>0</v>
      </c>
      <c r="U37" s="22"/>
      <c r="V37" s="18" t="s">
        <v>49</v>
      </c>
    </row>
    <row r="38" spans="12:22" ht="12.75">
      <c r="L38" t="s">
        <v>37</v>
      </c>
      <c r="M38">
        <v>25389.5</v>
      </c>
      <c r="N38">
        <f>IF(D42=V17,1,0)</f>
        <v>1</v>
      </c>
      <c r="O38">
        <f t="shared" si="3"/>
        <v>25389.5</v>
      </c>
      <c r="V38" s="18" t="s">
        <v>50</v>
      </c>
    </row>
    <row r="39" spans="1:15" ht="12.75">
      <c r="A39" s="2" t="s">
        <v>62</v>
      </c>
      <c r="C39" s="26" t="s">
        <v>8</v>
      </c>
      <c r="D39" s="23" t="s">
        <v>26</v>
      </c>
      <c r="L39" t="s">
        <v>114</v>
      </c>
      <c r="M39">
        <v>10591</v>
      </c>
      <c r="N39">
        <f>IF(D32=V33,1,0)</f>
        <v>1</v>
      </c>
      <c r="O39">
        <f t="shared" si="3"/>
        <v>10591</v>
      </c>
    </row>
    <row r="40" spans="2:15" ht="12.75">
      <c r="B40" s="26" t="s">
        <v>31</v>
      </c>
      <c r="C40" s="26" t="s">
        <v>9</v>
      </c>
      <c r="D40" s="23" t="s">
        <v>58</v>
      </c>
      <c r="L40" t="s">
        <v>44</v>
      </c>
      <c r="M40">
        <v>-4096.8</v>
      </c>
      <c r="N40" s="5">
        <f>IF(D35=V36,1,0)</f>
        <v>1</v>
      </c>
      <c r="O40">
        <f t="shared" si="3"/>
        <v>-4096.8</v>
      </c>
    </row>
    <row r="41" spans="3:20" ht="12.75">
      <c r="C41" s="26" t="s">
        <v>10</v>
      </c>
      <c r="D41" s="23" t="s">
        <v>26</v>
      </c>
      <c r="L41" t="s">
        <v>2</v>
      </c>
      <c r="M41">
        <v>-14932.1</v>
      </c>
      <c r="N41">
        <f>IF(D29=V23,1,0)</f>
        <v>1</v>
      </c>
      <c r="O41">
        <f t="shared" si="3"/>
        <v>-14932.1</v>
      </c>
      <c r="R41" s="22"/>
      <c r="S41" s="22"/>
      <c r="T41" s="22"/>
    </row>
    <row r="42" spans="3:15" ht="12.75">
      <c r="C42" s="26" t="s">
        <v>7</v>
      </c>
      <c r="D42" s="23" t="s">
        <v>58</v>
      </c>
      <c r="L42" t="s">
        <v>99</v>
      </c>
      <c r="M42">
        <v>5494.93</v>
      </c>
      <c r="N42" s="5">
        <f>IF(D17=V20,1,0)</f>
        <v>0</v>
      </c>
      <c r="O42">
        <f t="shared" si="3"/>
        <v>0</v>
      </c>
    </row>
    <row r="43" spans="12:20" ht="12.75">
      <c r="L43" t="s">
        <v>23</v>
      </c>
      <c r="M43">
        <v>5409.6</v>
      </c>
      <c r="N43" s="5">
        <f>IF(D26=V30,1,0)</f>
        <v>1</v>
      </c>
      <c r="O43">
        <f t="shared" si="3"/>
        <v>5409.6</v>
      </c>
      <c r="Q43" s="1"/>
      <c r="R43" s="1"/>
      <c r="S43" s="1"/>
      <c r="T43" s="1"/>
    </row>
    <row r="44" spans="1:21" ht="12.75">
      <c r="A44" s="2" t="s">
        <v>106</v>
      </c>
      <c r="D44" s="24">
        <v>1000</v>
      </c>
      <c r="L44" t="s">
        <v>100</v>
      </c>
      <c r="M44">
        <v>-4356.14</v>
      </c>
      <c r="N44" s="5">
        <f>IF(D21=V21,1,0)</f>
        <v>1</v>
      </c>
      <c r="O44">
        <f t="shared" si="3"/>
        <v>-4356.14</v>
      </c>
      <c r="U44" s="22"/>
    </row>
    <row r="45" spans="12:15" ht="12.75">
      <c r="L45" t="s">
        <v>13</v>
      </c>
      <c r="M45">
        <v>1198.16</v>
      </c>
      <c r="N45" s="22" t="s">
        <v>96</v>
      </c>
      <c r="O45">
        <f>SUM(O34:O44)</f>
        <v>25204.449999999997</v>
      </c>
    </row>
    <row r="47" spans="13:15" ht="12.75">
      <c r="M47" s="3" t="s">
        <v>103</v>
      </c>
      <c r="N47" s="17">
        <f>NORMDIST(O31,0,1,TRUE)</f>
        <v>0.513884434550308</v>
      </c>
      <c r="O47" t="s">
        <v>75</v>
      </c>
    </row>
    <row r="48" spans="13:15" ht="12.75">
      <c r="M48" s="3" t="s">
        <v>104</v>
      </c>
      <c r="N48">
        <f>NORMDIST(O45/M45,0,1,TRUE)</f>
        <v>1</v>
      </c>
      <c r="O48">
        <f>NORMDIST((O45-D44)/M45,0,1,TRUE)</f>
        <v>1</v>
      </c>
    </row>
    <row r="49" spans="13:15" ht="12.75">
      <c r="M49" s="3" t="s">
        <v>105</v>
      </c>
      <c r="N49" s="17">
        <f>NORMDIST(O45/M45,0,1,FALSE)</f>
        <v>3.241174543042373E-97</v>
      </c>
      <c r="O49" s="35">
        <f>NORMDIST((O45-D44)/M45,0,1,FALSE)</f>
        <v>9.645010785636547E-90</v>
      </c>
    </row>
    <row r="50" spans="13:15" ht="12.75">
      <c r="M50" s="1" t="s">
        <v>16</v>
      </c>
      <c r="N50" s="17">
        <f>IF(N48=0,0,N49/N48)</f>
        <v>3.241174543042373E-97</v>
      </c>
      <c r="O50" s="35">
        <f>IF(O48=0,0,O49/O48)</f>
        <v>9.645010785636547E-90</v>
      </c>
    </row>
    <row r="51" spans="13:15" ht="12.75">
      <c r="M51" s="3" t="s">
        <v>53</v>
      </c>
      <c r="N51" s="17">
        <f>N47*N48</f>
        <v>0.513884434550308</v>
      </c>
      <c r="O51" s="36">
        <f>N47*O48</f>
        <v>0.513884434550308</v>
      </c>
    </row>
    <row r="52" spans="13:15" ht="12.75">
      <c r="M52" s="3" t="s">
        <v>54</v>
      </c>
      <c r="N52" s="25">
        <f>O45+M45*N50</f>
        <v>25204.449999999997</v>
      </c>
      <c r="O52" s="25">
        <f>O45-D44+M41*O50</f>
        <v>24204.449999999997</v>
      </c>
    </row>
    <row r="53" spans="13:15" ht="12.75">
      <c r="M53" s="3" t="s">
        <v>55</v>
      </c>
      <c r="N53" s="25">
        <f>N51*N52</f>
        <v>12952.174536401508</v>
      </c>
      <c r="O53" s="25">
        <f>O51*O52</f>
        <v>12438.2901018512</v>
      </c>
    </row>
    <row r="54" spans="13:15" ht="12.75">
      <c r="M54" s="1" t="s">
        <v>59</v>
      </c>
      <c r="N54" s="25">
        <f>O26*N53</f>
        <v>1442.7443584876326</v>
      </c>
      <c r="O54" s="25">
        <f>O26*O53</f>
        <v>1385.5027063790712</v>
      </c>
    </row>
    <row r="56" spans="18:20" ht="12.75">
      <c r="R56" s="22"/>
      <c r="S56" s="22"/>
      <c r="T56" s="22"/>
    </row>
    <row r="59" spans="17:20" ht="12.75">
      <c r="Q59" s="3"/>
      <c r="R59" s="3"/>
      <c r="S59" s="3"/>
      <c r="T59" s="3"/>
    </row>
    <row r="60" spans="17:20" ht="12.75">
      <c r="Q60" s="3"/>
      <c r="R60" s="3"/>
      <c r="S60" s="3"/>
      <c r="T60" s="3"/>
    </row>
    <row r="61" spans="17:20" ht="12.75">
      <c r="Q61" s="3"/>
      <c r="R61" s="3"/>
      <c r="S61" s="3"/>
      <c r="T61" s="3"/>
    </row>
    <row r="63" spans="17:20" ht="12.75">
      <c r="Q63" s="1"/>
      <c r="R63" s="1"/>
      <c r="S63" s="1"/>
      <c r="T63" s="1"/>
    </row>
    <row r="65" spans="17:20" ht="12.75">
      <c r="Q65" s="3"/>
      <c r="R65" s="3"/>
      <c r="S65" s="3"/>
      <c r="T65" s="3"/>
    </row>
    <row r="66" spans="17:21" ht="12.75">
      <c r="Q66" s="3"/>
      <c r="R66" s="3"/>
      <c r="S66" s="3"/>
      <c r="T66" s="3"/>
      <c r="U66" s="25"/>
    </row>
    <row r="67" spans="17:21" ht="12.75">
      <c r="Q67" s="3"/>
      <c r="R67" s="3"/>
      <c r="S67" s="3"/>
      <c r="T67" s="3"/>
      <c r="U67" s="25"/>
    </row>
    <row r="69" spans="17:21" ht="12.75">
      <c r="Q69" s="1"/>
      <c r="R69" s="1"/>
      <c r="S69" s="1"/>
      <c r="T69" s="1"/>
      <c r="U69" s="25"/>
    </row>
  </sheetData>
  <dataValidations count="10">
    <dataValidation type="list" allowBlank="1" showInputMessage="1" showErrorMessage="1" sqref="D7">
      <formula1>$V$4:$V$6</formula1>
    </dataValidation>
    <dataValidation type="list" allowBlank="1" showInputMessage="1" showErrorMessage="1" sqref="D39:D42">
      <formula1>$V$17:$V$18</formula1>
    </dataValidation>
    <dataValidation type="list" allowBlank="1" showInputMessage="1" showErrorMessage="1" sqref="D21 D19 D17">
      <formula1>$V$20:$V$21</formula1>
    </dataValidation>
    <dataValidation type="list" allowBlank="1" showInputMessage="1" showErrorMessage="1" sqref="D29">
      <formula1>$V$23:$V$24</formula1>
    </dataValidation>
    <dataValidation type="list" allowBlank="1" showInputMessage="1" showErrorMessage="1" sqref="D12">
      <formula1>$V$14:$V$15</formula1>
    </dataValidation>
    <dataValidation type="list" allowBlank="1" showInputMessage="1" showErrorMessage="1" sqref="D32">
      <formula1>$V$33:$V$34</formula1>
    </dataValidation>
    <dataValidation type="list" allowBlank="1" showInputMessage="1" showErrorMessage="1" sqref="D9">
      <formula1>$V$10:$V$12</formula1>
    </dataValidation>
    <dataValidation type="list" allowBlank="1" showInputMessage="1" showErrorMessage="1" sqref="D26">
      <formula1>$V$30:$V$31</formula1>
    </dataValidation>
    <dataValidation type="list" allowBlank="1" showInputMessage="1" showErrorMessage="1" sqref="D37">
      <formula1>$V$26:$V$28</formula1>
    </dataValidation>
    <dataValidation type="list" allowBlank="1" showInputMessage="1" showErrorMessage="1" sqref="D35">
      <formula1>$V$36:$V$38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 -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Mitchell</dc:creator>
  <cp:keywords/>
  <dc:description/>
  <cp:lastModifiedBy>Paul Mitchell</cp:lastModifiedBy>
  <cp:lastPrinted>2007-05-10T17:01:19Z</cp:lastPrinted>
  <dcterms:created xsi:type="dcterms:W3CDTF">2006-01-11T16:30:07Z</dcterms:created>
  <dcterms:modified xsi:type="dcterms:W3CDTF">2007-05-17T18:06:08Z</dcterms:modified>
  <cp:category/>
  <cp:version/>
  <cp:contentType/>
  <cp:contentStatus/>
</cp:coreProperties>
</file>