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9155" windowHeight="8835" firstSheet="2" activeTab="2"/>
  </bookViews>
  <sheets>
    <sheet name="Total Costs &amp; Benefits" sheetId="11" r:id="rId1"/>
    <sheet name="Capital Costs" sheetId="1" r:id="rId2"/>
    <sheet name="Center Pivot" sheetId="12" r:id="rId3"/>
    <sheet name="Analysis" sheetId="19" r:id="rId4"/>
  </sheets>
  <definedNames/>
  <calcPr calcId="145621"/>
</workbook>
</file>

<file path=xl/sharedStrings.xml><?xml version="1.0" encoding="utf-8"?>
<sst xmlns="http://schemas.openxmlformats.org/spreadsheetml/2006/main" count="211" uniqueCount="131">
  <si>
    <t>Acres Irrigated</t>
  </si>
  <si>
    <t>CAPITAL COSTS</t>
  </si>
  <si>
    <t>Piping</t>
  </si>
  <si>
    <t>Add-Ons</t>
  </si>
  <si>
    <t>Drop Nozzle</t>
  </si>
  <si>
    <t>Cost per unit</t>
  </si>
  <si>
    <t># of units</t>
  </si>
  <si>
    <t>Total Cost</t>
  </si>
  <si>
    <t>TOTAL ADD-ON COSTS</t>
  </si>
  <si>
    <t>Energy Costs</t>
  </si>
  <si>
    <t>Center pivot(s) - 100-acre unit</t>
  </si>
  <si>
    <t>Center pivot(s) - 40-acre unit</t>
  </si>
  <si>
    <t>Electric pump(s)</t>
  </si>
  <si>
    <t>Screened sand/gravel well</t>
  </si>
  <si>
    <t>Rock well</t>
  </si>
  <si>
    <t>Low Pressure System</t>
  </si>
  <si>
    <t>Booster Pump</t>
  </si>
  <si>
    <t>Tillometry</t>
  </si>
  <si>
    <t>Base Unit + First Modem</t>
  </si>
  <si>
    <t>Additional Modems</t>
  </si>
  <si>
    <t>Computer Panel</t>
  </si>
  <si>
    <r>
      <t xml:space="preserve">What type of </t>
    </r>
    <r>
      <rPr>
        <b/>
        <sz val="11"/>
        <color theme="1"/>
        <rFont val="Calibri"/>
        <family val="2"/>
        <scheme val="minor"/>
      </rPr>
      <t>well</t>
    </r>
    <r>
      <rPr>
        <sz val="11"/>
        <color theme="1"/>
        <rFont val="Calibri"/>
        <family val="2"/>
        <scheme val="minor"/>
      </rPr>
      <t xml:space="preserve"> will you drill? Below, type 1 beside the type of well you will drill.</t>
    </r>
  </si>
  <si>
    <t>TOTAL BASIC SYSTEM COSTS</t>
  </si>
  <si>
    <t>TOTAL FIXED COSTS</t>
  </si>
  <si>
    <t>Purchasing this add-on? Below, type 1 beside the add-ons you will be purchasing</t>
  </si>
  <si>
    <t>Low/Medium/High system costs</t>
  </si>
  <si>
    <t>Annual Maintenance Costs</t>
  </si>
  <si>
    <t>TOTAL</t>
  </si>
  <si>
    <t>Labor Costs</t>
  </si>
  <si>
    <t>Electric</t>
  </si>
  <si>
    <t>Diesel</t>
  </si>
  <si>
    <t>Depreciation</t>
  </si>
  <si>
    <t>Depreciation - what is the salvage value?</t>
  </si>
  <si>
    <t>Should we include interest rates?</t>
  </si>
  <si>
    <t>need to double check these system costs, also make sure that unit is really 100-acre, or should it be a 130-acre (1/4 section)?</t>
  </si>
  <si>
    <t>add in tax/insurance?</t>
  </si>
  <si>
    <t>Capital Costs</t>
  </si>
  <si>
    <t>Maintenance Costs</t>
  </si>
  <si>
    <t>Interest Rates</t>
  </si>
  <si>
    <t>Costs</t>
  </si>
  <si>
    <t>Benefits</t>
  </si>
  <si>
    <t>Corn Revenue</t>
  </si>
  <si>
    <t>Soy Revenue</t>
  </si>
  <si>
    <t>Tax Benefits</t>
  </si>
  <si>
    <t>Insurance Benefits</t>
  </si>
  <si>
    <t>BALANCE</t>
  </si>
  <si>
    <t>Power System</t>
  </si>
  <si>
    <t>Pressure</t>
  </si>
  <si>
    <t>Low</t>
  </si>
  <si>
    <t>High</t>
  </si>
  <si>
    <t>Soybean</t>
  </si>
  <si>
    <t>Corn</t>
  </si>
  <si>
    <t>Yield Data</t>
  </si>
  <si>
    <t>Average Dryland Yield (bu/A)</t>
  </si>
  <si>
    <t>Irrigated Yield Increase (%)</t>
  </si>
  <si>
    <t>Crop Prices</t>
  </si>
  <si>
    <t>Total</t>
  </si>
  <si>
    <t>Interest</t>
  </si>
  <si>
    <t>Insurance</t>
  </si>
  <si>
    <t>Labor</t>
  </si>
  <si>
    <t>Paul D. Mitchell, Agricultural and Applied Economics, University of Wisconsin-Madison</t>
  </si>
  <si>
    <t>(608) 265-6515           Extension Homepage</t>
  </si>
  <si>
    <t xml:space="preserve">http://www.aae.wisc.edu/mitchell/extension.htm </t>
  </si>
  <si>
    <t>pdmitchell@wisc.edu</t>
  </si>
  <si>
    <t>Instructions: Fill in green cells.  If implied costs are incorrect, enter alternative projections in blue cells.</t>
  </si>
  <si>
    <t>CAPITAL COST</t>
  </si>
  <si>
    <t>total ($)</t>
  </si>
  <si>
    <t>($/irg ac)</t>
  </si>
  <si>
    <t>Implied Depreciation</t>
  </si>
  <si>
    <t>Alternative Projection</t>
  </si>
  <si>
    <t>OWNERSHIP COSTS</t>
  </si>
  <si>
    <t>Years</t>
  </si>
  <si>
    <t>$/irg ac</t>
  </si>
  <si>
    <t>Implied Cost</t>
  </si>
  <si>
    <t>Rate (%)</t>
  </si>
  <si>
    <t>Interest on Investment</t>
  </si>
  <si>
    <t>Insurance (% new cost)</t>
  </si>
  <si>
    <t>TOTAL OWNERSHIP COST</t>
  </si>
  <si>
    <t>Wage Rate($/hr)</t>
  </si>
  <si>
    <t>Rate (% cost)</t>
  </si>
  <si>
    <t>Maintenance (% new cost)</t>
  </si>
  <si>
    <t>TOTAL LABOR &amp; MAINTENANCE</t>
  </si>
  <si>
    <t>SUMMARY</t>
  </si>
  <si>
    <t>Total $</t>
  </si>
  <si>
    <t>Maintenance</t>
  </si>
  <si>
    <t>TOTAL COST</t>
  </si>
  <si>
    <t xml:space="preserve"> Acres Irrigated</t>
  </si>
  <si>
    <t>Full System (Pivot, Pipe, Pump, Well)</t>
  </si>
  <si>
    <t xml:space="preserve">Depreciation (Straight Line) </t>
  </si>
  <si>
    <t>OPERATING COSTS</t>
  </si>
  <si>
    <t>Energy</t>
  </si>
  <si>
    <t>COST OF CENTER PIVOT SYSTEM</t>
  </si>
  <si>
    <t>Hrs/Ac/Yr</t>
  </si>
  <si>
    <t>Labor to Mange &amp; Maintain System</t>
  </si>
  <si>
    <t>Elec-Hi</t>
  </si>
  <si>
    <t>Elec-Lo</t>
  </si>
  <si>
    <t>Diesl-Lo</t>
  </si>
  <si>
    <t>Diesl-Hi</t>
  </si>
  <si>
    <t>Choose</t>
  </si>
  <si>
    <t>Energy: System Pressure</t>
  </si>
  <si>
    <t>Energy:     Power System</t>
  </si>
  <si>
    <t>TOTAL ENERGY COSTS</t>
  </si>
  <si>
    <t>OWNERSHIP</t>
  </si>
  <si>
    <t>OPERATING</t>
  </si>
  <si>
    <t>Energy Costs*</t>
  </si>
  <si>
    <t xml:space="preserve">http://ruralenergy.wisc.edu/conservation/irrigation/default_irrigation.aspx </t>
  </si>
  <si>
    <t>*Energy costs vary greatly, use the Irrigation Energy Self Assessment</t>
  </si>
  <si>
    <t>Other</t>
  </si>
  <si>
    <t>Irrigation</t>
  </si>
  <si>
    <t>Inputs</t>
  </si>
  <si>
    <t>Extra Yield (bu/ac)</t>
  </si>
  <si>
    <t>Extra Cost ($/ac)</t>
  </si>
  <si>
    <t>Net Gain ($/ac)</t>
  </si>
  <si>
    <t>Extra costs ($/ac) vs dryland</t>
  </si>
  <si>
    <t>Net Benefit of Irrigation Analysis for Corn and Soybeans</t>
  </si>
  <si>
    <t>Fertilizer (lbs/ac)</t>
  </si>
  <si>
    <t>Amount</t>
  </si>
  <si>
    <t>Price</t>
  </si>
  <si>
    <t>Hauling (bu)</t>
  </si>
  <si>
    <t>Handling (bu)</t>
  </si>
  <si>
    <t>Grain Drying (bu)</t>
  </si>
  <si>
    <t>Cost ($/ac)</t>
  </si>
  <si>
    <t>-------- Corn --------</t>
  </si>
  <si>
    <t>-------- Soybean --------</t>
  </si>
  <si>
    <t>Seed (1000 seeds/ac)</t>
  </si>
  <si>
    <t>--</t>
  </si>
  <si>
    <t>FYI: Spooner ARS uses 5" to 7" irrigation annually for corn</t>
  </si>
  <si>
    <t>Implied Irrigated Yield (bu/A)</t>
  </si>
  <si>
    <t>Worksheet is Protected (password = "stop")</t>
  </si>
  <si>
    <t>Extra Revenue ($/ac)</t>
  </si>
  <si>
    <t>Total Extra Cost ($/ac)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</si>
</sst>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>
      <alignment/>
      <protection locked="0"/>
    </xf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right" wrapText="1"/>
    </xf>
    <xf numFmtId="0" fontId="0" fillId="3" borderId="3" xfId="0" applyFont="1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4" borderId="4" xfId="0" applyFill="1" applyBorder="1"/>
    <xf numFmtId="0" fontId="0" fillId="5" borderId="4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2" xfId="0" applyFill="1" applyBorder="1"/>
    <xf numFmtId="0" fontId="0" fillId="0" borderId="1" xfId="0" applyFont="1" applyBorder="1"/>
    <xf numFmtId="0" fontId="0" fillId="0" borderId="0" xfId="0" applyFont="1" applyBorder="1"/>
    <xf numFmtId="0" fontId="0" fillId="2" borderId="3" xfId="0" applyFill="1" applyBorder="1"/>
    <xf numFmtId="0" fontId="3" fillId="0" borderId="1" xfId="0" applyFont="1" applyBorder="1"/>
    <xf numFmtId="0" fontId="0" fillId="3" borderId="0" xfId="0" applyFill="1"/>
    <xf numFmtId="0" fontId="0" fillId="3" borderId="1" xfId="0" applyFill="1" applyBorder="1"/>
    <xf numFmtId="0" fontId="0" fillId="0" borderId="4" xfId="0" applyFill="1" applyBorder="1"/>
    <xf numFmtId="0" fontId="0" fillId="5" borderId="4" xfId="0" applyFill="1" applyBorder="1"/>
    <xf numFmtId="0" fontId="2" fillId="0" borderId="0" xfId="0" applyFont="1" applyFill="1"/>
    <xf numFmtId="0" fontId="0" fillId="4" borderId="0" xfId="0" applyFill="1"/>
    <xf numFmtId="0" fontId="5" fillId="6" borderId="0" xfId="0" applyFont="1" applyFill="1"/>
    <xf numFmtId="0" fontId="0" fillId="6" borderId="0" xfId="0" applyFill="1"/>
    <xf numFmtId="0" fontId="0" fillId="0" borderId="0" xfId="0" applyFill="1"/>
    <xf numFmtId="164" fontId="0" fillId="0" borderId="0" xfId="0" applyNumberFormat="1"/>
    <xf numFmtId="164" fontId="0" fillId="3" borderId="3" xfId="0" applyNumberFormat="1" applyFill="1" applyBorder="1"/>
    <xf numFmtId="164" fontId="0" fillId="0" borderId="3" xfId="0" applyNumberFormat="1" applyBorder="1"/>
    <xf numFmtId="164" fontId="0" fillId="3" borderId="0" xfId="0" applyNumberFormat="1" applyFill="1"/>
    <xf numFmtId="164" fontId="0" fillId="0" borderId="3" xfId="0" applyNumberFormat="1" applyFill="1" applyBorder="1"/>
    <xf numFmtId="164" fontId="2" fillId="0" borderId="0" xfId="0" applyNumberFormat="1" applyFont="1"/>
    <xf numFmtId="164" fontId="0" fillId="0" borderId="0" xfId="0" applyNumberFormat="1" applyBorder="1"/>
    <xf numFmtId="164" fontId="0" fillId="0" borderId="5" xfId="0" applyNumberFormat="1" applyBorder="1"/>
    <xf numFmtId="164" fontId="2" fillId="6" borderId="0" xfId="0" applyNumberFormat="1" applyFont="1" applyFill="1"/>
    <xf numFmtId="164" fontId="0" fillId="3" borderId="4" xfId="0" applyNumberFormat="1" applyFill="1" applyBorder="1"/>
    <xf numFmtId="164" fontId="0" fillId="0" borderId="4" xfId="0" applyNumberFormat="1" applyBorder="1"/>
    <xf numFmtId="164" fontId="0" fillId="3" borderId="1" xfId="0" applyNumberFormat="1" applyFill="1" applyBorder="1"/>
    <xf numFmtId="164" fontId="0" fillId="0" borderId="4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/>
    <xf numFmtId="0" fontId="0" fillId="7" borderId="0" xfId="0" applyFill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2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8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6" fontId="7" fillId="8" borderId="0" xfId="0" applyNumberFormat="1" applyFont="1" applyFill="1" applyBorder="1" applyAlignment="1" applyProtection="1">
      <alignment horizontal="right"/>
      <protection locked="0"/>
    </xf>
    <xf numFmtId="8" fontId="7" fillId="0" borderId="0" xfId="0" applyNumberFormat="1" applyFont="1" applyBorder="1"/>
    <xf numFmtId="6" fontId="7" fillId="0" borderId="0" xfId="0" applyNumberFormat="1" applyFont="1" applyBorder="1"/>
    <xf numFmtId="0" fontId="7" fillId="0" borderId="6" xfId="0" applyFont="1" applyBorder="1" applyAlignment="1">
      <alignment horizontal="right"/>
    </xf>
    <xf numFmtId="0" fontId="7" fillId="8" borderId="0" xfId="0" applyFont="1" applyFill="1" applyAlignment="1" applyProtection="1">
      <alignment horizontal="center"/>
      <protection locked="0"/>
    </xf>
    <xf numFmtId="165" fontId="7" fillId="0" borderId="0" xfId="0" applyNumberFormat="1" applyFont="1"/>
    <xf numFmtId="164" fontId="7" fillId="0" borderId="0" xfId="0" applyNumberFormat="1" applyFont="1"/>
    <xf numFmtId="165" fontId="7" fillId="9" borderId="0" xfId="0" applyNumberFormat="1" applyFont="1" applyFill="1" applyProtection="1">
      <protection locked="0"/>
    </xf>
    <xf numFmtId="164" fontId="7" fillId="0" borderId="0" xfId="0" applyNumberFormat="1" applyFont="1" applyFill="1"/>
    <xf numFmtId="0" fontId="7" fillId="0" borderId="0" xfId="0" applyFont="1" applyAlignment="1">
      <alignment horizontal="center"/>
    </xf>
    <xf numFmtId="9" fontId="7" fillId="8" borderId="0" xfId="15" applyFont="1" applyFill="1" applyAlignment="1" applyProtection="1">
      <alignment horizontal="center"/>
      <protection locked="0"/>
    </xf>
    <xf numFmtId="166" fontId="7" fillId="8" borderId="0" xfId="15" applyNumberFormat="1" applyFont="1" applyFill="1" applyAlignment="1" applyProtection="1">
      <alignment horizontal="center"/>
      <protection locked="0"/>
    </xf>
    <xf numFmtId="8" fontId="7" fillId="0" borderId="7" xfId="0" applyNumberFormat="1" applyFont="1" applyBorder="1"/>
    <xf numFmtId="164" fontId="7" fillId="8" borderId="0" xfId="0" applyNumberFormat="1" applyFont="1" applyFill="1" applyAlignment="1" applyProtection="1">
      <alignment horizontal="center"/>
      <protection locked="0"/>
    </xf>
    <xf numFmtId="8" fontId="7" fillId="0" borderId="0" xfId="0" applyNumberFormat="1" applyFont="1" applyBorder="1" applyAlignment="1">
      <alignment horizontal="right"/>
    </xf>
    <xf numFmtId="6" fontId="7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7" fillId="0" borderId="0" xfId="0" applyFont="1" applyAlignment="1">
      <alignment horizontal="right" wrapText="1"/>
    </xf>
    <xf numFmtId="6" fontId="7" fillId="0" borderId="8" xfId="0" applyNumberFormat="1" applyFont="1" applyBorder="1" applyAlignment="1">
      <alignment horizontal="right"/>
    </xf>
    <xf numFmtId="8" fontId="7" fillId="0" borderId="0" xfId="0" applyNumberFormat="1" applyFont="1"/>
    <xf numFmtId="164" fontId="7" fillId="0" borderId="7" xfId="0" applyNumberFormat="1" applyFont="1" applyBorder="1"/>
    <xf numFmtId="164" fontId="7" fillId="0" borderId="0" xfId="0" applyNumberFormat="1" applyFont="1" applyBorder="1"/>
    <xf numFmtId="165" fontId="7" fillId="0" borderId="8" xfId="0" applyNumberFormat="1" applyFont="1" applyBorder="1"/>
    <xf numFmtId="6" fontId="7" fillId="0" borderId="0" xfId="0" applyNumberFormat="1" applyFont="1"/>
    <xf numFmtId="0" fontId="7" fillId="0" borderId="9" xfId="0" applyFont="1" applyBorder="1" applyAlignment="1">
      <alignment horizontal="right"/>
    </xf>
    <xf numFmtId="6" fontId="7" fillId="0" borderId="9" xfId="0" applyNumberFormat="1" applyFont="1" applyBorder="1" applyAlignment="1">
      <alignment horizontal="right"/>
    </xf>
    <xf numFmtId="8" fontId="7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6" fontId="7" fillId="0" borderId="9" xfId="0" applyNumberFormat="1" applyFont="1" applyBorder="1"/>
    <xf numFmtId="8" fontId="7" fillId="0" borderId="9" xfId="0" applyNumberFormat="1" applyFont="1" applyBorder="1"/>
    <xf numFmtId="0" fontId="7" fillId="0" borderId="8" xfId="0" applyFont="1" applyBorder="1" applyAlignment="1">
      <alignment horizontal="right"/>
    </xf>
    <xf numFmtId="6" fontId="7" fillId="0" borderId="10" xfId="0" applyNumberFormat="1" applyFont="1" applyBorder="1"/>
    <xf numFmtId="0" fontId="8" fillId="0" borderId="0" xfId="21" applyAlignment="1" applyProtection="1">
      <alignment/>
      <protection/>
    </xf>
    <xf numFmtId="0" fontId="2" fillId="10" borderId="0" xfId="0" applyFont="1" applyFill="1" applyAlignment="1">
      <alignment horizontal="center"/>
    </xf>
    <xf numFmtId="0" fontId="0" fillId="10" borderId="0" xfId="0" applyFill="1"/>
    <xf numFmtId="166" fontId="0" fillId="10" borderId="0" xfId="0" applyNumberFormat="1" applyFill="1"/>
    <xf numFmtId="2" fontId="0" fillId="10" borderId="0" xfId="0" applyNumberFormat="1" applyFill="1" applyAlignment="1">
      <alignment horizontal="right"/>
    </xf>
    <xf numFmtId="164" fontId="0" fillId="10" borderId="0" xfId="0" applyNumberFormat="1" applyFill="1"/>
    <xf numFmtId="0" fontId="2" fillId="0" borderId="0" xfId="0" applyFont="1" applyAlignment="1">
      <alignment horizontal="right"/>
    </xf>
    <xf numFmtId="164" fontId="0" fillId="0" borderId="0" xfId="0" applyNumberFormat="1" applyFill="1"/>
    <xf numFmtId="1" fontId="0" fillId="0" borderId="0" xfId="0" applyNumberFormat="1" applyAlignment="1" quotePrefix="1">
      <alignment horizontal="right"/>
    </xf>
    <xf numFmtId="164" fontId="2" fillId="0" borderId="8" xfId="0" applyNumberFormat="1" applyFont="1" applyBorder="1"/>
    <xf numFmtId="164" fontId="2" fillId="0" borderId="7" xfId="0" applyNumberFormat="1" applyFont="1" applyBorder="1"/>
    <xf numFmtId="164" fontId="0" fillId="0" borderId="8" xfId="0" applyNumberFormat="1" applyBorder="1"/>
    <xf numFmtId="164" fontId="0" fillId="0" borderId="7" xfId="0" applyNumberForma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ae.wisc.edu/mitchell/extension.htm" TargetMode="External" /><Relationship Id="rId2" Type="http://schemas.openxmlformats.org/officeDocument/2006/relationships/hyperlink" Target="mailto:pdmitchell@wisc.edu" TargetMode="External" /><Relationship Id="rId3" Type="http://schemas.openxmlformats.org/officeDocument/2006/relationships/hyperlink" Target="http://ruralenergy.wisc.edu/conservation/irrigation/default_irrigation.asp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ae.wisc.edu/mitchell/extension.htm" TargetMode="External" /><Relationship Id="rId2" Type="http://schemas.openxmlformats.org/officeDocument/2006/relationships/hyperlink" Target="mailto:pdmitchell@wi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B2" sqref="B2"/>
    </sheetView>
  </sheetViews>
  <sheetFormatPr defaultColWidth="9.140625" defaultRowHeight="15"/>
  <cols>
    <col min="1" max="1" width="17.8515625" style="0" customWidth="1"/>
    <col min="2" max="2" width="12.7109375" style="0" bestFit="1" customWidth="1"/>
    <col min="4" max="4" width="17.8515625" style="0" customWidth="1"/>
    <col min="5" max="5" width="12.7109375" style="0" bestFit="1" customWidth="1"/>
  </cols>
  <sheetData>
    <row r="1" spans="1:4" ht="15">
      <c r="A1" s="2" t="s">
        <v>39</v>
      </c>
      <c r="D1" s="2" t="s">
        <v>40</v>
      </c>
    </row>
    <row r="2" spans="1:5" ht="15">
      <c r="A2" t="s">
        <v>36</v>
      </c>
      <c r="B2" s="39">
        <f>'Capital Costs'!E25</f>
        <v>3209000</v>
      </c>
      <c r="D2" t="s">
        <v>41</v>
      </c>
      <c r="E2" s="39" t="e">
        <f>#REF!</f>
        <v>#REF!</v>
      </c>
    </row>
    <row r="3" spans="1:5" ht="15">
      <c r="A3" t="s">
        <v>28</v>
      </c>
      <c r="B3" s="39" t="e">
        <f>#REF!</f>
        <v>#REF!</v>
      </c>
      <c r="D3" t="s">
        <v>42</v>
      </c>
      <c r="E3" s="39" t="e">
        <f>#REF!</f>
        <v>#REF!</v>
      </c>
    </row>
    <row r="4" spans="1:4" ht="15">
      <c r="A4" t="s">
        <v>9</v>
      </c>
      <c r="B4" s="39" t="e">
        <f>#REF!</f>
        <v>#REF!</v>
      </c>
      <c r="D4" s="8" t="s">
        <v>43</v>
      </c>
    </row>
    <row r="5" spans="1:4" ht="15">
      <c r="A5" s="8" t="s">
        <v>37</v>
      </c>
      <c r="D5" s="8" t="s">
        <v>44</v>
      </c>
    </row>
    <row r="6" spans="1:5" ht="15">
      <c r="A6" s="8" t="s">
        <v>31</v>
      </c>
      <c r="D6" t="s">
        <v>27</v>
      </c>
      <c r="E6" s="39" t="e">
        <f>SUM(E2:E5)</f>
        <v>#REF!</v>
      </c>
    </row>
    <row r="7" ht="15">
      <c r="A7" s="8" t="s">
        <v>38</v>
      </c>
    </row>
    <row r="8" spans="1:2" ht="15">
      <c r="A8" t="s">
        <v>27</v>
      </c>
      <c r="B8" s="39" t="e">
        <f>SUM(B2:B7)</f>
        <v>#REF!</v>
      </c>
    </row>
    <row r="11" spans="1:2" ht="15">
      <c r="A11" s="54" t="s">
        <v>45</v>
      </c>
      <c r="B11" s="44" t="e">
        <f>E6-B8</f>
        <v>#REF!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4">
      <selection activeCell="I10" sqref="I10"/>
    </sheetView>
  </sheetViews>
  <sheetFormatPr defaultColWidth="9.140625" defaultRowHeight="15"/>
  <cols>
    <col min="1" max="1" width="27.421875" style="0" customWidth="1"/>
    <col min="2" max="2" width="15.00390625" style="0" customWidth="1"/>
    <col min="3" max="3" width="12.28125" style="0" customWidth="1"/>
    <col min="5" max="5" width="12.7109375" style="0" bestFit="1" customWidth="1"/>
    <col min="9" max="9" width="37.57421875" style="0" customWidth="1"/>
  </cols>
  <sheetData>
    <row r="1" spans="1:9" ht="15">
      <c r="A1" s="34" t="s">
        <v>0</v>
      </c>
      <c r="B1" s="35">
        <v>500</v>
      </c>
      <c r="I1" s="8" t="s">
        <v>26</v>
      </c>
    </row>
    <row r="2" ht="15">
      <c r="I2" s="8" t="s">
        <v>32</v>
      </c>
    </row>
    <row r="3" spans="1:9" ht="15">
      <c r="A3" s="1" t="s">
        <v>1</v>
      </c>
      <c r="I3" s="8" t="s">
        <v>33</v>
      </c>
    </row>
    <row r="4" spans="1:5" ht="15">
      <c r="A4" s="1"/>
      <c r="B4" s="29"/>
      <c r="C4" s="26" t="s">
        <v>5</v>
      </c>
      <c r="D4" s="26" t="s">
        <v>6</v>
      </c>
      <c r="E4" s="27" t="s">
        <v>7</v>
      </c>
    </row>
    <row r="5" spans="1:6" ht="15">
      <c r="A5" s="16" t="s">
        <v>10</v>
      </c>
      <c r="B5" s="15"/>
      <c r="C5" s="48">
        <v>600000</v>
      </c>
      <c r="D5" s="15">
        <f>QUOTIENT(B1,100)</f>
        <v>5</v>
      </c>
      <c r="E5" s="40">
        <f>C5*D5</f>
        <v>3000000</v>
      </c>
      <c r="F5" t="s">
        <v>34</v>
      </c>
    </row>
    <row r="6" spans="1:9" ht="15">
      <c r="A6" s="12" t="s">
        <v>11</v>
      </c>
      <c r="B6" s="11"/>
      <c r="C6" s="49">
        <v>39000</v>
      </c>
      <c r="D6" s="11">
        <f>QUOTIENT(B1-(D5*100),40)</f>
        <v>0</v>
      </c>
      <c r="E6" s="41">
        <f>C6*D6</f>
        <v>0</v>
      </c>
      <c r="I6" s="8" t="s">
        <v>25</v>
      </c>
    </row>
    <row r="7" spans="1:5" ht="15">
      <c r="A7" s="30" t="s">
        <v>12</v>
      </c>
      <c r="B7" s="31"/>
      <c r="C7" s="50">
        <v>15000</v>
      </c>
      <c r="D7" s="31">
        <f>D5+D6</f>
        <v>5</v>
      </c>
      <c r="E7" s="42">
        <f>C7*D7</f>
        <v>75000</v>
      </c>
    </row>
    <row r="8" spans="1:9" ht="15.75" customHeight="1">
      <c r="A8" s="28" t="s">
        <v>2</v>
      </c>
      <c r="B8" s="32"/>
      <c r="C8" s="51"/>
      <c r="D8" s="32"/>
      <c r="E8" s="43"/>
      <c r="I8" t="s">
        <v>35</v>
      </c>
    </row>
    <row r="9" spans="1:5" ht="91.5" customHeight="1">
      <c r="A9" s="12"/>
      <c r="B9" s="20" t="s">
        <v>21</v>
      </c>
      <c r="C9" s="49"/>
      <c r="D9" s="11"/>
      <c r="E9" s="41"/>
    </row>
    <row r="10" spans="1:5" ht="15">
      <c r="A10" s="16" t="s">
        <v>13</v>
      </c>
      <c r="B10" s="21">
        <v>0</v>
      </c>
      <c r="C10" s="48">
        <v>18000</v>
      </c>
      <c r="D10" s="15">
        <f>IF(B10=1,D7,0)</f>
        <v>0</v>
      </c>
      <c r="E10" s="40">
        <f>C10*D10</f>
        <v>0</v>
      </c>
    </row>
    <row r="11" spans="1:5" ht="15">
      <c r="A11" s="12" t="s">
        <v>14</v>
      </c>
      <c r="B11" s="33">
        <v>1</v>
      </c>
      <c r="C11" s="49">
        <v>26000</v>
      </c>
      <c r="D11" s="11">
        <f>IF(B11=1,D7,0)</f>
        <v>5</v>
      </c>
      <c r="E11" s="41">
        <f>C11*D11</f>
        <v>130000</v>
      </c>
    </row>
    <row r="12" spans="1:5" ht="32.25" customHeight="1">
      <c r="A12" s="4" t="s">
        <v>22</v>
      </c>
      <c r="C12" s="39"/>
      <c r="E12" s="44">
        <f>SUM(E5:E7,E10:E11)</f>
        <v>3205000</v>
      </c>
    </row>
    <row r="13" spans="1:5" ht="15">
      <c r="A13" s="3"/>
      <c r="C13" s="39"/>
      <c r="E13" s="39"/>
    </row>
    <row r="14" spans="1:5" ht="15">
      <c r="A14" s="2" t="s">
        <v>3</v>
      </c>
      <c r="C14" s="39"/>
      <c r="E14" s="39"/>
    </row>
    <row r="15" spans="1:5" ht="90" customHeight="1">
      <c r="A15" s="2"/>
      <c r="B15" s="18" t="s">
        <v>24</v>
      </c>
      <c r="C15" s="52" t="s">
        <v>5</v>
      </c>
      <c r="D15" s="7" t="s">
        <v>6</v>
      </c>
      <c r="E15" s="45" t="s">
        <v>7</v>
      </c>
    </row>
    <row r="16" spans="1:5" ht="15.75" customHeight="1">
      <c r="A16" s="14" t="s">
        <v>15</v>
      </c>
      <c r="B16" s="19">
        <v>1</v>
      </c>
      <c r="C16" s="48">
        <v>800</v>
      </c>
      <c r="D16" s="15">
        <f>IF(B16=1,D7,0)</f>
        <v>5</v>
      </c>
      <c r="E16" s="40">
        <f>C16*D16</f>
        <v>4000</v>
      </c>
    </row>
    <row r="17" spans="1:5" ht="15.75" customHeight="1">
      <c r="A17" s="10" t="s">
        <v>16</v>
      </c>
      <c r="B17" s="22">
        <v>0</v>
      </c>
      <c r="C17" s="49">
        <v>900</v>
      </c>
      <c r="D17" s="11">
        <f>IF(B17=1,D7,0)</f>
        <v>0</v>
      </c>
      <c r="E17" s="41">
        <f>C17*D17</f>
        <v>0</v>
      </c>
    </row>
    <row r="18" spans="1:5" ht="15">
      <c r="A18" s="16" t="s">
        <v>4</v>
      </c>
      <c r="B18" s="21">
        <v>0</v>
      </c>
      <c r="C18" s="48">
        <v>800</v>
      </c>
      <c r="D18" s="15">
        <f>IF(B18=1,D7,0)</f>
        <v>0</v>
      </c>
      <c r="E18" s="40">
        <f>C18*D18</f>
        <v>0</v>
      </c>
    </row>
    <row r="19" spans="1:5" ht="15">
      <c r="A19" s="5" t="s">
        <v>17</v>
      </c>
      <c r="B19" s="23">
        <v>0</v>
      </c>
      <c r="C19" s="52"/>
      <c r="D19" s="7"/>
      <c r="E19" s="39"/>
    </row>
    <row r="20" spans="1:5" ht="15">
      <c r="A20" s="6" t="s">
        <v>18</v>
      </c>
      <c r="B20" s="24"/>
      <c r="C20" s="52">
        <v>3500</v>
      </c>
      <c r="D20" s="7">
        <f>IF(B19=1,1,0)</f>
        <v>0</v>
      </c>
      <c r="E20" s="39">
        <f>C20*D20</f>
        <v>0</v>
      </c>
    </row>
    <row r="21" spans="1:5" ht="15">
      <c r="A21" s="13" t="s">
        <v>19</v>
      </c>
      <c r="B21" s="25"/>
      <c r="C21" s="53">
        <v>1500</v>
      </c>
      <c r="D21" s="9">
        <f>IF(B19=1,(D7-1),0)</f>
        <v>0</v>
      </c>
      <c r="E21" s="46">
        <f>C21*D21</f>
        <v>0</v>
      </c>
    </row>
    <row r="22" spans="1:5" ht="15">
      <c r="A22" s="17" t="s">
        <v>20</v>
      </c>
      <c r="B22" s="21">
        <v>0</v>
      </c>
      <c r="C22" s="48">
        <v>2600</v>
      </c>
      <c r="D22" s="15">
        <f>IF(B22=1,1,0)</f>
        <v>0</v>
      </c>
      <c r="E22" s="40">
        <f>C22*D22</f>
        <v>0</v>
      </c>
    </row>
    <row r="23" spans="1:5" ht="15">
      <c r="A23" s="3" t="s">
        <v>8</v>
      </c>
      <c r="E23" s="44">
        <f>SUM(E16:E18,E20:E22)</f>
        <v>4000</v>
      </c>
    </row>
    <row r="24" spans="1:5" ht="15">
      <c r="A24" s="3"/>
      <c r="E24" s="44"/>
    </row>
    <row r="25" spans="1:5" ht="15">
      <c r="A25" s="36" t="s">
        <v>23</v>
      </c>
      <c r="B25" s="37"/>
      <c r="C25" s="37"/>
      <c r="D25" s="37"/>
      <c r="E25" s="47">
        <f>E12+E23</f>
        <v>3209000</v>
      </c>
    </row>
    <row r="27" ht="15">
      <c r="A27" s="1"/>
    </row>
    <row r="35" ht="15">
      <c r="A35" s="38"/>
    </row>
    <row r="36" ht="15">
      <c r="A36" s="3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workbookViewId="0" topLeftCell="A1"/>
  </sheetViews>
  <sheetFormatPr defaultColWidth="9.140625" defaultRowHeight="15"/>
  <cols>
    <col min="1" max="1" width="38.57421875" style="60" customWidth="1"/>
    <col min="2" max="2" width="12.421875" style="60" bestFit="1" customWidth="1"/>
    <col min="3" max="3" width="11.421875" style="60" bestFit="1" customWidth="1"/>
    <col min="4" max="4" width="9.421875" style="60" customWidth="1"/>
    <col min="5" max="5" width="5.8515625" style="60" customWidth="1"/>
    <col min="6" max="6" width="12.57421875" style="60" bestFit="1" customWidth="1"/>
    <col min="7" max="7" width="11.00390625" style="60" customWidth="1"/>
    <col min="8" max="8" width="11.00390625" style="61" customWidth="1"/>
    <col min="9" max="9" width="9.00390625" style="61" customWidth="1"/>
    <col min="14" max="14" width="13.7109375" style="0" bestFit="1" customWidth="1"/>
  </cols>
  <sheetData>
    <row r="1" spans="1:31" ht="18">
      <c r="A1" s="59" t="s">
        <v>91</v>
      </c>
      <c r="AE1" s="58" t="s">
        <v>46</v>
      </c>
    </row>
    <row r="2" spans="8:31" ht="15">
      <c r="H2" s="62"/>
      <c r="AE2" t="s">
        <v>29</v>
      </c>
    </row>
    <row r="3" spans="1:31" ht="15">
      <c r="A3" s="63" t="s">
        <v>60</v>
      </c>
      <c r="B3" s="63"/>
      <c r="C3" s="64"/>
      <c r="D3" s="64"/>
      <c r="E3" s="64"/>
      <c r="F3" s="64"/>
      <c r="G3" s="64"/>
      <c r="H3" s="63"/>
      <c r="I3" s="63"/>
      <c r="AE3" t="s">
        <v>30</v>
      </c>
    </row>
    <row r="4" spans="1:9" ht="15">
      <c r="A4" s="63" t="s">
        <v>61</v>
      </c>
      <c r="B4" s="65" t="s">
        <v>62</v>
      </c>
      <c r="C4" s="63"/>
      <c r="D4" s="63"/>
      <c r="E4" s="63"/>
      <c r="F4" s="63"/>
      <c r="G4" s="63"/>
      <c r="H4" s="63"/>
      <c r="I4" s="63"/>
    </row>
    <row r="5" spans="1:31" ht="15">
      <c r="A5" s="65" t="s">
        <v>63</v>
      </c>
      <c r="B5" s="63"/>
      <c r="C5" s="64"/>
      <c r="D5" s="64"/>
      <c r="E5" s="64"/>
      <c r="F5" s="64"/>
      <c r="G5" s="64"/>
      <c r="H5" s="63"/>
      <c r="I5" s="63"/>
      <c r="AE5" s="58" t="s">
        <v>47</v>
      </c>
    </row>
    <row r="6" spans="1:31" ht="15">
      <c r="A6" s="63"/>
      <c r="B6" s="63"/>
      <c r="C6" s="64"/>
      <c r="D6" s="64"/>
      <c r="E6" s="64"/>
      <c r="F6" s="64"/>
      <c r="G6" s="64"/>
      <c r="H6" s="63"/>
      <c r="I6" s="63"/>
      <c r="AE6" t="s">
        <v>48</v>
      </c>
    </row>
    <row r="7" spans="1:31" ht="15">
      <c r="A7" s="60" t="s">
        <v>64</v>
      </c>
      <c r="B7" s="63"/>
      <c r="C7" s="64"/>
      <c r="D7" s="64"/>
      <c r="E7" s="64"/>
      <c r="F7" s="64"/>
      <c r="G7" s="64"/>
      <c r="H7" s="63"/>
      <c r="I7" s="63"/>
      <c r="AE7" t="s">
        <v>49</v>
      </c>
    </row>
    <row r="8" spans="1:9" ht="15">
      <c r="A8" s="60" t="s">
        <v>128</v>
      </c>
      <c r="B8" s="63"/>
      <c r="C8" s="64"/>
      <c r="D8" s="64"/>
      <c r="E8" s="64"/>
      <c r="F8" s="64"/>
      <c r="G8" s="64"/>
      <c r="H8" s="63"/>
      <c r="I8" s="63"/>
    </row>
    <row r="9" spans="1:9" ht="15">
      <c r="A9" s="63"/>
      <c r="B9" s="63"/>
      <c r="C9" s="64"/>
      <c r="D9" s="64"/>
      <c r="E9" s="64"/>
      <c r="F9" s="64"/>
      <c r="G9" s="64"/>
      <c r="H9" s="63"/>
      <c r="I9" s="63"/>
    </row>
    <row r="10" spans="1:31" ht="15">
      <c r="A10" s="66" t="s">
        <v>86</v>
      </c>
      <c r="B10" s="67">
        <v>130</v>
      </c>
      <c r="AE10" t="s">
        <v>95</v>
      </c>
    </row>
    <row r="11" spans="1:31" ht="15">
      <c r="A11" s="66"/>
      <c r="I11" s="68"/>
      <c r="AE11">
        <v>34</v>
      </c>
    </row>
    <row r="12" spans="1:31" ht="15">
      <c r="A12" s="69" t="s">
        <v>65</v>
      </c>
      <c r="B12" s="68" t="s">
        <v>66</v>
      </c>
      <c r="C12" s="68" t="s">
        <v>67</v>
      </c>
      <c r="AE12" t="s">
        <v>94</v>
      </c>
    </row>
    <row r="13" spans="1:31" ht="15">
      <c r="A13" s="66" t="s">
        <v>87</v>
      </c>
      <c r="B13" s="70">
        <v>150000</v>
      </c>
      <c r="C13" s="71">
        <f>B13/B10</f>
        <v>1153.8461538461538</v>
      </c>
      <c r="AE13">
        <v>45</v>
      </c>
    </row>
    <row r="14" ht="15">
      <c r="AE14" t="s">
        <v>96</v>
      </c>
    </row>
    <row r="15" spans="1:31" ht="15">
      <c r="A15" s="66"/>
      <c r="C15" s="115" t="s">
        <v>68</v>
      </c>
      <c r="D15" s="115"/>
      <c r="E15" s="79"/>
      <c r="G15" s="116" t="s">
        <v>69</v>
      </c>
      <c r="H15" s="116"/>
      <c r="AE15">
        <v>123</v>
      </c>
    </row>
    <row r="16" spans="1:31" ht="15.75" thickBot="1">
      <c r="A16" s="69" t="s">
        <v>70</v>
      </c>
      <c r="B16" s="62" t="s">
        <v>71</v>
      </c>
      <c r="C16" s="73" t="s">
        <v>56</v>
      </c>
      <c r="D16" s="73" t="s">
        <v>72</v>
      </c>
      <c r="E16" s="68"/>
      <c r="G16" s="68" t="s">
        <v>56</v>
      </c>
      <c r="H16" s="68" t="s">
        <v>72</v>
      </c>
      <c r="AE16" t="s">
        <v>97</v>
      </c>
    </row>
    <row r="17" spans="1:31" ht="15.75" thickBot="1">
      <c r="A17" s="66" t="s">
        <v>88</v>
      </c>
      <c r="B17" s="74">
        <v>30</v>
      </c>
      <c r="C17" s="92">
        <f>B13/B17</f>
        <v>5000</v>
      </c>
      <c r="D17" s="90">
        <f>C17/$B$10</f>
        <v>38.46153846153846</v>
      </c>
      <c r="E17" s="91"/>
      <c r="F17" s="66" t="s">
        <v>31</v>
      </c>
      <c r="G17" s="77"/>
      <c r="H17" s="78" t="str">
        <f>IF(G17="","",G17/$B$10)</f>
        <v/>
      </c>
      <c r="AE17">
        <v>95</v>
      </c>
    </row>
    <row r="18" spans="1:8" ht="15">
      <c r="A18" s="66"/>
      <c r="B18" s="66"/>
      <c r="C18" s="66"/>
      <c r="D18" s="66"/>
      <c r="E18" s="66"/>
      <c r="F18" s="66"/>
      <c r="H18" s="60"/>
    </row>
    <row r="19" spans="1:8" ht="15">
      <c r="A19" s="66"/>
      <c r="B19" s="79"/>
      <c r="C19" s="115" t="s">
        <v>73</v>
      </c>
      <c r="D19" s="115"/>
      <c r="E19" s="79"/>
      <c r="F19" s="87"/>
      <c r="G19" s="116" t="s">
        <v>69</v>
      </c>
      <c r="H19" s="116"/>
    </row>
    <row r="20" spans="1:8" ht="15">
      <c r="A20" s="66"/>
      <c r="B20" s="79" t="s">
        <v>74</v>
      </c>
      <c r="C20" s="68" t="s">
        <v>56</v>
      </c>
      <c r="D20" s="68" t="s">
        <v>72</v>
      </c>
      <c r="E20" s="68"/>
      <c r="F20" s="66"/>
      <c r="G20" s="68" t="s">
        <v>56</v>
      </c>
      <c r="H20" s="68" t="s">
        <v>72</v>
      </c>
    </row>
    <row r="21" spans="1:8" ht="15">
      <c r="A21" s="66" t="s">
        <v>75</v>
      </c>
      <c r="B21" s="80">
        <v>0.05</v>
      </c>
      <c r="C21" s="75">
        <f>B13*B21</f>
        <v>7500</v>
      </c>
      <c r="D21" s="76">
        <f>C21/$B$10</f>
        <v>57.69230769230769</v>
      </c>
      <c r="E21" s="76"/>
      <c r="F21" s="66" t="s">
        <v>57</v>
      </c>
      <c r="G21" s="77"/>
      <c r="H21" s="78" t="str">
        <f>IF(G21="","",G21/$B$10)</f>
        <v/>
      </c>
    </row>
    <row r="22" spans="1:16" ht="15">
      <c r="A22" s="66" t="s">
        <v>76</v>
      </c>
      <c r="B22" s="81">
        <v>0.01</v>
      </c>
      <c r="C22" s="75">
        <f>B13*B22</f>
        <v>1500</v>
      </c>
      <c r="D22" s="76">
        <f>C22/$B$10</f>
        <v>11.538461538461538</v>
      </c>
      <c r="E22" s="76"/>
      <c r="F22" s="66" t="s">
        <v>58</v>
      </c>
      <c r="G22" s="77"/>
      <c r="H22" s="78" t="str">
        <f>IF(G22="","",G22/$B$10)</f>
        <v/>
      </c>
      <c r="M22" s="56"/>
      <c r="N22" s="56"/>
      <c r="O22" s="56"/>
      <c r="P22" s="56"/>
    </row>
    <row r="23" spans="6:16" ht="15.75" thickBot="1">
      <c r="F23" s="66"/>
      <c r="M23" s="57"/>
      <c r="N23" s="57"/>
      <c r="O23" s="57"/>
      <c r="P23" s="57"/>
    </row>
    <row r="24" spans="1:8" ht="15.75" thickBot="1">
      <c r="A24" s="61"/>
      <c r="B24" s="68" t="s">
        <v>77</v>
      </c>
      <c r="C24" s="88">
        <f>SUM(C17:C22)</f>
        <v>14000</v>
      </c>
      <c r="D24" s="90">
        <f>C24/$B$10</f>
        <v>107.6923076923077</v>
      </c>
      <c r="E24" s="91"/>
      <c r="F24" s="66"/>
      <c r="G24" s="88">
        <f>SUM(G17:G22)</f>
        <v>0</v>
      </c>
      <c r="H24" s="90">
        <f>G24/$B$10</f>
        <v>0</v>
      </c>
    </row>
    <row r="25" spans="1:8" ht="15">
      <c r="A25" s="61"/>
      <c r="B25" s="68"/>
      <c r="C25" s="85"/>
      <c r="D25" s="91"/>
      <c r="E25" s="91"/>
      <c r="F25" s="66"/>
      <c r="G25" s="85"/>
      <c r="H25" s="91"/>
    </row>
    <row r="26" ht="15">
      <c r="F26" s="66"/>
    </row>
    <row r="27" spans="1:9" ht="15">
      <c r="A27" s="69" t="s">
        <v>89</v>
      </c>
      <c r="B27" s="79" t="s">
        <v>98</v>
      </c>
      <c r="F27" s="66"/>
      <c r="H27" s="60"/>
      <c r="I27" s="60"/>
    </row>
    <row r="28" spans="1:9" ht="15" customHeight="1">
      <c r="A28" s="66" t="s">
        <v>100</v>
      </c>
      <c r="B28" s="103" t="s">
        <v>29</v>
      </c>
      <c r="C28" s="115" t="s">
        <v>73</v>
      </c>
      <c r="D28" s="115"/>
      <c r="E28" s="79"/>
      <c r="F28" s="66"/>
      <c r="G28" s="116" t="s">
        <v>69</v>
      </c>
      <c r="H28" s="116"/>
      <c r="I28" s="60"/>
    </row>
    <row r="29" spans="1:10" ht="15">
      <c r="A29" s="66" t="s">
        <v>99</v>
      </c>
      <c r="B29" s="103" t="s">
        <v>48</v>
      </c>
      <c r="C29" s="68" t="s">
        <v>56</v>
      </c>
      <c r="D29" s="68" t="s">
        <v>72</v>
      </c>
      <c r="E29" s="68"/>
      <c r="F29" s="66"/>
      <c r="G29" s="68" t="s">
        <v>56</v>
      </c>
      <c r="H29" s="68" t="s">
        <v>72</v>
      </c>
      <c r="I29" s="60"/>
      <c r="J29" t="s">
        <v>106</v>
      </c>
    </row>
    <row r="30" spans="2:10" ht="15">
      <c r="B30" s="66" t="s">
        <v>104</v>
      </c>
      <c r="C30" s="75">
        <f>D30*B10</f>
        <v>4420</v>
      </c>
      <c r="D30" s="76">
        <f>IF(B28="Electric",IF(B29="Low",AE11,AE13),IF(B29="Low",AE17,AE15))</f>
        <v>34</v>
      </c>
      <c r="E30" s="76"/>
      <c r="F30" s="66" t="s">
        <v>90</v>
      </c>
      <c r="G30" s="75" t="str">
        <f>IF(H30="","",H30*$B$10)</f>
        <v/>
      </c>
      <c r="H30" s="77"/>
      <c r="I30" s="60"/>
      <c r="J30" s="102" t="s">
        <v>105</v>
      </c>
    </row>
    <row r="31" spans="6:10" ht="15.75" thickBot="1">
      <c r="F31" s="66"/>
      <c r="H31" s="60"/>
      <c r="I31" s="60"/>
      <c r="J31" t="s">
        <v>126</v>
      </c>
    </row>
    <row r="32" spans="2:9" ht="15.75" thickBot="1">
      <c r="B32" s="66" t="s">
        <v>101</v>
      </c>
      <c r="C32" s="88">
        <f>SUM(C30)</f>
        <v>4420</v>
      </c>
      <c r="D32" s="90">
        <f>C32/$B$10</f>
        <v>34</v>
      </c>
      <c r="E32" s="91"/>
      <c r="F32" s="66"/>
      <c r="G32" s="88">
        <f>SUM(G30)</f>
        <v>0</v>
      </c>
      <c r="H32" s="90">
        <f>G32/$B$10</f>
        <v>0</v>
      </c>
      <c r="I32" s="60"/>
    </row>
    <row r="33" spans="6:9" ht="15">
      <c r="F33" s="66"/>
      <c r="H33" s="60"/>
      <c r="I33" s="60"/>
    </row>
    <row r="34" spans="3:9" ht="15">
      <c r="C34" s="115" t="s">
        <v>73</v>
      </c>
      <c r="D34" s="115"/>
      <c r="E34" s="79"/>
      <c r="F34" s="66"/>
      <c r="G34" s="116" t="s">
        <v>69</v>
      </c>
      <c r="H34" s="116"/>
      <c r="I34" s="60"/>
    </row>
    <row r="35" spans="2:9" ht="15">
      <c r="B35" s="79" t="s">
        <v>79</v>
      </c>
      <c r="C35" s="68" t="s">
        <v>56</v>
      </c>
      <c r="D35" s="68" t="s">
        <v>72</v>
      </c>
      <c r="E35" s="68"/>
      <c r="F35" s="66"/>
      <c r="G35" s="68" t="s">
        <v>56</v>
      </c>
      <c r="H35" s="68" t="s">
        <v>72</v>
      </c>
      <c r="I35" s="60"/>
    </row>
    <row r="36" spans="1:9" ht="15">
      <c r="A36" s="66" t="s">
        <v>80</v>
      </c>
      <c r="B36" s="81">
        <v>0.008</v>
      </c>
      <c r="C36" s="93">
        <f>B36*B13</f>
        <v>1200</v>
      </c>
      <c r="D36" s="89">
        <f>C36/B10</f>
        <v>9.23076923076923</v>
      </c>
      <c r="E36" s="89"/>
      <c r="F36" s="66" t="s">
        <v>84</v>
      </c>
      <c r="G36" s="75" t="str">
        <f>IF(H36="","",H36*$B$10)</f>
        <v/>
      </c>
      <c r="H36" s="77"/>
      <c r="I36" s="60"/>
    </row>
    <row r="37" spans="1:9" ht="15">
      <c r="A37" s="66"/>
      <c r="F37" s="66"/>
      <c r="H37" s="60"/>
      <c r="I37" s="60"/>
    </row>
    <row r="38" spans="2:9" ht="15">
      <c r="B38" s="79" t="s">
        <v>92</v>
      </c>
      <c r="C38" s="115" t="s">
        <v>73</v>
      </c>
      <c r="D38" s="115"/>
      <c r="E38" s="79"/>
      <c r="F38" s="66"/>
      <c r="G38" s="116" t="s">
        <v>69</v>
      </c>
      <c r="H38" s="116"/>
      <c r="I38" s="60"/>
    </row>
    <row r="39" spans="1:9" ht="15">
      <c r="A39" s="66" t="s">
        <v>93</v>
      </c>
      <c r="B39" s="74">
        <v>0.25</v>
      </c>
      <c r="C39" s="68" t="s">
        <v>56</v>
      </c>
      <c r="D39" s="68" t="s">
        <v>72</v>
      </c>
      <c r="E39" s="68"/>
      <c r="F39" s="66"/>
      <c r="G39" s="68" t="s">
        <v>56</v>
      </c>
      <c r="H39" s="68" t="s">
        <v>72</v>
      </c>
      <c r="I39" s="60"/>
    </row>
    <row r="40" spans="1:9" ht="15">
      <c r="A40" s="66" t="s">
        <v>78</v>
      </c>
      <c r="B40" s="83">
        <v>15</v>
      </c>
      <c r="C40" s="93">
        <f>B39*B10*B40</f>
        <v>487.5</v>
      </c>
      <c r="D40" s="89">
        <f>C40/B10</f>
        <v>3.75</v>
      </c>
      <c r="E40" s="89"/>
      <c r="F40" s="66" t="s">
        <v>59</v>
      </c>
      <c r="G40" s="75" t="str">
        <f>IF(H40="","",H40*$B$10)</f>
        <v/>
      </c>
      <c r="H40" s="77"/>
      <c r="I40" s="60"/>
    </row>
    <row r="41" spans="1:9" ht="15.75" thickBot="1">
      <c r="A41" s="66"/>
      <c r="H41" s="60"/>
      <c r="I41" s="60"/>
    </row>
    <row r="42" spans="1:9" ht="15.75" thickBot="1">
      <c r="A42" s="62"/>
      <c r="B42" s="68" t="s">
        <v>81</v>
      </c>
      <c r="C42" s="88">
        <f>C36+C40</f>
        <v>1687.5</v>
      </c>
      <c r="D42" s="90">
        <f>C42/$B$10</f>
        <v>12.98076923076923</v>
      </c>
      <c r="E42" s="91"/>
      <c r="G42" s="88">
        <f>SUM(G36,G40)</f>
        <v>0</v>
      </c>
      <c r="H42" s="90">
        <f>G42/$B$10</f>
        <v>0</v>
      </c>
      <c r="I42" s="72"/>
    </row>
    <row r="43" ht="15">
      <c r="A43" s="66"/>
    </row>
    <row r="44" spans="1:9" ht="15.75" thickBot="1">
      <c r="A44" s="66"/>
      <c r="B44" s="97" t="s">
        <v>82</v>
      </c>
      <c r="C44" s="73" t="s">
        <v>83</v>
      </c>
      <c r="D44" s="73" t="s">
        <v>72</v>
      </c>
      <c r="E44" s="61"/>
      <c r="F44" s="97" t="s">
        <v>82</v>
      </c>
      <c r="G44" s="73" t="s">
        <v>83</v>
      </c>
      <c r="H44" s="73" t="s">
        <v>72</v>
      </c>
      <c r="I44" s="84"/>
    </row>
    <row r="45" spans="1:9" ht="15">
      <c r="A45" s="66"/>
      <c r="B45" s="66" t="s">
        <v>31</v>
      </c>
      <c r="C45" s="85">
        <f>C17</f>
        <v>5000</v>
      </c>
      <c r="D45" s="84">
        <f>D17</f>
        <v>38.46153846153846</v>
      </c>
      <c r="E45" s="61"/>
      <c r="F45" s="66" t="s">
        <v>31</v>
      </c>
      <c r="G45" s="85">
        <f>G17</f>
        <v>0</v>
      </c>
      <c r="H45" s="85" t="str">
        <f>H17</f>
        <v/>
      </c>
      <c r="I45" s="84"/>
    </row>
    <row r="46" spans="1:9" ht="15">
      <c r="A46" s="66"/>
      <c r="B46" s="66" t="s">
        <v>57</v>
      </c>
      <c r="C46" s="85">
        <f>C21</f>
        <v>7500</v>
      </c>
      <c r="D46" s="84">
        <f>D21</f>
        <v>57.69230769230769</v>
      </c>
      <c r="E46" s="61"/>
      <c r="F46" s="66" t="s">
        <v>57</v>
      </c>
      <c r="G46" s="85">
        <f>G21</f>
        <v>0</v>
      </c>
      <c r="H46" s="85" t="str">
        <f>H21</f>
        <v/>
      </c>
      <c r="I46" s="84"/>
    </row>
    <row r="47" spans="1:9" ht="15">
      <c r="A47" s="66"/>
      <c r="B47" s="66" t="s">
        <v>58</v>
      </c>
      <c r="C47" s="85">
        <f>C22</f>
        <v>1500</v>
      </c>
      <c r="D47" s="84">
        <f>D22</f>
        <v>11.538461538461538</v>
      </c>
      <c r="E47" s="61"/>
      <c r="F47" s="66" t="s">
        <v>58</v>
      </c>
      <c r="G47" s="85">
        <f>G22</f>
        <v>0</v>
      </c>
      <c r="H47" s="85" t="str">
        <f>H22</f>
        <v/>
      </c>
      <c r="I47" s="84"/>
    </row>
    <row r="48" spans="1:9" ht="15.75" thickBot="1">
      <c r="A48" s="66"/>
      <c r="B48" s="94" t="s">
        <v>102</v>
      </c>
      <c r="C48" s="95">
        <f>SUM(C45:C47)</f>
        <v>14000</v>
      </c>
      <c r="D48" s="96">
        <f>SUM(D45:D47)</f>
        <v>107.6923076923077</v>
      </c>
      <c r="F48" s="94" t="s">
        <v>102</v>
      </c>
      <c r="G48" s="95">
        <f>SUM(G45:G47)</f>
        <v>0</v>
      </c>
      <c r="H48" s="96">
        <f>SUM(H45:H47)</f>
        <v>0</v>
      </c>
      <c r="I48" s="72"/>
    </row>
    <row r="49" spans="1:9" ht="15">
      <c r="A49" s="66"/>
      <c r="B49" s="61"/>
      <c r="C49" s="72"/>
      <c r="D49" s="61"/>
      <c r="E49" s="84"/>
      <c r="F49" s="61"/>
      <c r="G49" s="72"/>
      <c r="I49" s="84"/>
    </row>
    <row r="50" spans="1:9" ht="15.75" thickBot="1">
      <c r="A50" s="66"/>
      <c r="B50" s="61"/>
      <c r="C50" s="73" t="s">
        <v>83</v>
      </c>
      <c r="D50" s="73" t="s">
        <v>72</v>
      </c>
      <c r="E50" s="84"/>
      <c r="F50" s="61"/>
      <c r="G50" s="73" t="s">
        <v>83</v>
      </c>
      <c r="H50" s="73" t="s">
        <v>72</v>
      </c>
      <c r="I50" s="84"/>
    </row>
    <row r="51" spans="1:9" ht="15">
      <c r="A51" s="66"/>
      <c r="B51" s="66" t="s">
        <v>90</v>
      </c>
      <c r="C51" s="85">
        <f>C30</f>
        <v>4420</v>
      </c>
      <c r="D51" s="84">
        <f>D30</f>
        <v>34</v>
      </c>
      <c r="E51" s="84"/>
      <c r="F51" s="66" t="s">
        <v>90</v>
      </c>
      <c r="G51" s="84" t="str">
        <f>G30</f>
        <v/>
      </c>
      <c r="H51" s="84">
        <f>H30</f>
        <v>0</v>
      </c>
      <c r="I51" s="84"/>
    </row>
    <row r="52" spans="1:9" ht="15">
      <c r="A52" s="66"/>
      <c r="B52" s="66" t="s">
        <v>84</v>
      </c>
      <c r="C52" s="72">
        <f>C36</f>
        <v>1200</v>
      </c>
      <c r="D52" s="71">
        <f>D36</f>
        <v>9.23076923076923</v>
      </c>
      <c r="F52" s="66" t="s">
        <v>84</v>
      </c>
      <c r="G52" s="71" t="str">
        <f>G36</f>
        <v/>
      </c>
      <c r="H52" s="71">
        <f>H36</f>
        <v>0</v>
      </c>
      <c r="I52" s="84"/>
    </row>
    <row r="53" spans="1:9" ht="15">
      <c r="A53" s="66"/>
      <c r="B53" s="66" t="s">
        <v>59</v>
      </c>
      <c r="C53" s="72">
        <f>C40</f>
        <v>487.5</v>
      </c>
      <c r="D53" s="71">
        <f>D40</f>
        <v>3.75</v>
      </c>
      <c r="F53" s="66" t="s">
        <v>59</v>
      </c>
      <c r="G53" s="71" t="str">
        <f>G40</f>
        <v/>
      </c>
      <c r="H53" s="71">
        <f>H40</f>
        <v>0</v>
      </c>
      <c r="I53" s="84"/>
    </row>
    <row r="54" spans="1:9" ht="15.75" thickBot="1">
      <c r="A54" s="66"/>
      <c r="B54" s="94" t="s">
        <v>103</v>
      </c>
      <c r="C54" s="98">
        <f>SUM(C51:C53)</f>
        <v>6107.5</v>
      </c>
      <c r="D54" s="99">
        <f>SUM(D51:D53)</f>
        <v>46.980769230769226</v>
      </c>
      <c r="F54" s="94" t="s">
        <v>103</v>
      </c>
      <c r="G54" s="98">
        <f>SUM(G51:G53)</f>
        <v>0</v>
      </c>
      <c r="H54" s="99">
        <f>SUM(H51:H53)</f>
        <v>0</v>
      </c>
      <c r="I54" s="84"/>
    </row>
    <row r="55" spans="1:9" ht="15">
      <c r="A55" s="66"/>
      <c r="B55" s="68"/>
      <c r="C55" s="61"/>
      <c r="D55" s="72"/>
      <c r="F55" s="68"/>
      <c r="G55" s="61"/>
      <c r="H55" s="72"/>
      <c r="I55" s="84"/>
    </row>
    <row r="56" spans="1:9" ht="15.75" thickBot="1">
      <c r="A56" s="66"/>
      <c r="B56" s="68"/>
      <c r="C56" s="73" t="s">
        <v>83</v>
      </c>
      <c r="D56" s="73" t="s">
        <v>72</v>
      </c>
      <c r="F56" s="68"/>
      <c r="G56" s="73" t="s">
        <v>83</v>
      </c>
      <c r="H56" s="73" t="s">
        <v>72</v>
      </c>
      <c r="I56" s="84"/>
    </row>
    <row r="57" spans="2:9" ht="15.75" thickBot="1">
      <c r="B57" s="100" t="s">
        <v>85</v>
      </c>
      <c r="C57" s="101">
        <f>C48+C54</f>
        <v>20107.5</v>
      </c>
      <c r="D57" s="82">
        <f>D48+D54</f>
        <v>154.6730769230769</v>
      </c>
      <c r="F57" s="100" t="s">
        <v>85</v>
      </c>
      <c r="G57" s="101">
        <f>G48+G54</f>
        <v>0</v>
      </c>
      <c r="H57" s="82">
        <f>H48+H54</f>
        <v>0</v>
      </c>
      <c r="I57" s="84"/>
    </row>
    <row r="58" spans="6:9" ht="15">
      <c r="F58" s="84"/>
      <c r="G58" s="84"/>
      <c r="H58" s="84"/>
      <c r="I58" s="84"/>
    </row>
    <row r="59" spans="8:9" ht="15">
      <c r="H59" s="60"/>
      <c r="I59" s="60"/>
    </row>
    <row r="60" spans="8:9" ht="15">
      <c r="H60" s="85"/>
      <c r="I60" s="84"/>
    </row>
    <row r="62" spans="4:8" ht="15">
      <c r="D62" s="68"/>
      <c r="E62" s="68"/>
      <c r="F62" s="68"/>
      <c r="G62" s="68"/>
      <c r="H62" s="60"/>
    </row>
    <row r="63" spans="4:8" ht="15">
      <c r="D63" s="84"/>
      <c r="E63" s="84"/>
      <c r="F63" s="84"/>
      <c r="G63" s="84"/>
      <c r="H63" s="60"/>
    </row>
    <row r="64" spans="4:8" ht="15">
      <c r="D64" s="84"/>
      <c r="E64" s="84"/>
      <c r="F64" s="84"/>
      <c r="G64" s="84"/>
      <c r="H64" s="60"/>
    </row>
    <row r="65" spans="4:8" ht="15">
      <c r="D65" s="84"/>
      <c r="E65" s="84"/>
      <c r="F65" s="84"/>
      <c r="G65" s="84"/>
      <c r="H65" s="60"/>
    </row>
    <row r="66" spans="4:8" ht="15">
      <c r="D66" s="84"/>
      <c r="E66" s="84"/>
      <c r="F66" s="84"/>
      <c r="G66" s="84"/>
      <c r="H66" s="60"/>
    </row>
    <row r="67" spans="4:8" ht="15">
      <c r="D67" s="61"/>
      <c r="E67" s="61"/>
      <c r="F67" s="61"/>
      <c r="G67" s="61"/>
      <c r="H67" s="60"/>
    </row>
    <row r="68" spans="4:8" ht="15">
      <c r="D68" s="84"/>
      <c r="E68" s="84"/>
      <c r="F68" s="84"/>
      <c r="G68" s="84"/>
      <c r="H68" s="60"/>
    </row>
    <row r="69" spans="4:8" ht="15">
      <c r="D69" s="71"/>
      <c r="E69" s="71"/>
      <c r="F69" s="71"/>
      <c r="G69" s="71"/>
      <c r="H69" s="60"/>
    </row>
    <row r="70" spans="4:8" ht="15">
      <c r="D70" s="71"/>
      <c r="E70" s="71"/>
      <c r="F70" s="71"/>
      <c r="G70" s="71"/>
      <c r="H70" s="60"/>
    </row>
    <row r="71" spans="4:9" ht="15">
      <c r="D71" s="71"/>
      <c r="E71" s="71"/>
      <c r="F71" s="71"/>
      <c r="G71" s="71"/>
      <c r="H71" s="60"/>
      <c r="I71" s="86"/>
    </row>
    <row r="72" spans="4:8" ht="15">
      <c r="D72" s="71"/>
      <c r="E72" s="71"/>
      <c r="F72" s="71"/>
      <c r="G72" s="71"/>
      <c r="H72" s="60"/>
    </row>
  </sheetData>
  <sheetProtection password="CB01" sheet="1" objects="1" scenarios="1"/>
  <protectedRanges>
    <protectedRange password="CB01" sqref="A1 B10 B13 B17 B21:B22 B28:B29 B36 B39:B40 H40 H36 H30 G21:G22 G17" name="Range1"/>
  </protectedRanges>
  <mergeCells count="10">
    <mergeCell ref="C38:D38"/>
    <mergeCell ref="G28:H28"/>
    <mergeCell ref="G34:H34"/>
    <mergeCell ref="G38:H38"/>
    <mergeCell ref="C15:D15"/>
    <mergeCell ref="G15:H15"/>
    <mergeCell ref="C19:D19"/>
    <mergeCell ref="G19:H19"/>
    <mergeCell ref="C28:D28"/>
    <mergeCell ref="C34:D34"/>
  </mergeCells>
  <dataValidations count="2" disablePrompts="1">
    <dataValidation type="list" allowBlank="1" showInputMessage="1" showErrorMessage="1" sqref="B28">
      <formula1>$AE$2:$AE$3</formula1>
    </dataValidation>
    <dataValidation type="list" allowBlank="1" showInputMessage="1" showErrorMessage="1" sqref="B29">
      <formula1>$AE$6:$AE$7</formula1>
    </dataValidation>
  </dataValidations>
  <hyperlinks>
    <hyperlink ref="B4" r:id="rId1" display="http://www.aae.wisc.edu/mitchell/extension.htm"/>
    <hyperlink ref="A5" r:id="rId2" display="mailto:pdmitchell@wisc.edu"/>
    <hyperlink ref="J30" r:id="rId3" display="http://ruralenergy.wisc.edu/conservation/irrigation/default_irrigation.asp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workbookViewId="0" topLeftCell="A1"/>
  </sheetViews>
  <sheetFormatPr defaultColWidth="9.140625" defaultRowHeight="15"/>
  <cols>
    <col min="1" max="1" width="26.57421875" style="0" customWidth="1"/>
    <col min="2" max="2" width="11.140625" style="0" bestFit="1" customWidth="1"/>
    <col min="4" max="4" width="10.421875" style="0" bestFit="1" customWidth="1"/>
    <col min="7" max="7" width="10.421875" style="0" bestFit="1" customWidth="1"/>
  </cols>
  <sheetData>
    <row r="1" spans="1:31" ht="18">
      <c r="A1" s="59" t="s">
        <v>114</v>
      </c>
      <c r="B1" s="60"/>
      <c r="C1" s="60"/>
      <c r="D1" s="60"/>
      <c r="E1" s="60"/>
      <c r="F1" s="60"/>
      <c r="G1" s="60"/>
      <c r="H1" s="61"/>
      <c r="I1" s="61"/>
      <c r="AE1" s="58" t="s">
        <v>46</v>
      </c>
    </row>
    <row r="2" spans="1:31" ht="15">
      <c r="A2" s="60"/>
      <c r="B2" s="60"/>
      <c r="C2" s="60"/>
      <c r="D2" s="60"/>
      <c r="E2" s="60"/>
      <c r="F2" s="60"/>
      <c r="G2" s="60"/>
      <c r="H2" s="62"/>
      <c r="I2" s="61"/>
      <c r="AE2" t="s">
        <v>29</v>
      </c>
    </row>
    <row r="3" spans="1:31" ht="15">
      <c r="A3" s="63" t="s">
        <v>60</v>
      </c>
      <c r="B3" s="63"/>
      <c r="C3" s="64"/>
      <c r="D3" s="64"/>
      <c r="E3" s="64"/>
      <c r="F3" s="64"/>
      <c r="G3" s="64"/>
      <c r="H3" s="63"/>
      <c r="I3" s="63"/>
      <c r="AE3" t="s">
        <v>30</v>
      </c>
    </row>
    <row r="4" spans="1:9" ht="15">
      <c r="A4" s="63" t="s">
        <v>61</v>
      </c>
      <c r="B4" s="65" t="s">
        <v>62</v>
      </c>
      <c r="C4" s="63"/>
      <c r="D4" s="63"/>
      <c r="E4" s="63"/>
      <c r="F4" s="63"/>
      <c r="G4" s="63"/>
      <c r="H4" s="63"/>
      <c r="I4" s="63"/>
    </row>
    <row r="5" spans="1:31" ht="15">
      <c r="A5" s="65" t="s">
        <v>63</v>
      </c>
      <c r="B5" s="63"/>
      <c r="C5" s="64"/>
      <c r="D5" s="64"/>
      <c r="E5" s="64"/>
      <c r="F5" s="64"/>
      <c r="G5" s="64"/>
      <c r="H5" s="63"/>
      <c r="I5" s="63"/>
      <c r="AE5" s="58" t="s">
        <v>47</v>
      </c>
    </row>
    <row r="6" spans="1:31" ht="15">
      <c r="A6" s="63"/>
      <c r="B6" s="63"/>
      <c r="C6" s="64"/>
      <c r="D6" s="64"/>
      <c r="E6" s="64"/>
      <c r="F6" s="64"/>
      <c r="G6" s="64"/>
      <c r="H6" s="63"/>
      <c r="I6" s="63"/>
      <c r="AE6" t="s">
        <v>48</v>
      </c>
    </row>
    <row r="7" spans="1:31" ht="15">
      <c r="A7" s="60" t="s">
        <v>64</v>
      </c>
      <c r="B7" s="63"/>
      <c r="C7" s="64"/>
      <c r="D7" s="64"/>
      <c r="E7" s="64"/>
      <c r="F7" s="64"/>
      <c r="G7" s="64"/>
      <c r="H7" s="63"/>
      <c r="I7" s="63"/>
      <c r="AE7" t="s">
        <v>49</v>
      </c>
    </row>
    <row r="8" ht="15">
      <c r="A8" s="60" t="s">
        <v>128</v>
      </c>
    </row>
    <row r="9" ht="15">
      <c r="A9" s="60"/>
    </row>
    <row r="10" spans="1:3" ht="15">
      <c r="A10" s="54" t="s">
        <v>52</v>
      </c>
      <c r="B10" s="108" t="s">
        <v>51</v>
      </c>
      <c r="C10" s="108" t="s">
        <v>50</v>
      </c>
    </row>
    <row r="11" spans="1:3" ht="15">
      <c r="A11" t="s">
        <v>53</v>
      </c>
      <c r="B11" s="104">
        <v>120</v>
      </c>
      <c r="C11" s="104">
        <v>33</v>
      </c>
    </row>
    <row r="12" spans="1:3" ht="15">
      <c r="A12" t="s">
        <v>54</v>
      </c>
      <c r="B12" s="105">
        <v>0.43</v>
      </c>
      <c r="C12" s="105">
        <v>0.39</v>
      </c>
    </row>
    <row r="13" spans="1:3" ht="15">
      <c r="A13" t="s">
        <v>127</v>
      </c>
      <c r="B13" s="56">
        <f>B11*(1+B12)</f>
        <v>171.6</v>
      </c>
      <c r="C13" s="56">
        <f>C11*(1+C12)</f>
        <v>45.870000000000005</v>
      </c>
    </row>
    <row r="15" spans="2:3" ht="15">
      <c r="B15" s="55" t="s">
        <v>51</v>
      </c>
      <c r="C15" s="55" t="s">
        <v>50</v>
      </c>
    </row>
    <row r="16" spans="1:3" ht="15">
      <c r="A16" t="s">
        <v>55</v>
      </c>
      <c r="B16" s="106">
        <v>4.65</v>
      </c>
      <c r="C16" s="106">
        <v>11.4</v>
      </c>
    </row>
    <row r="18" spans="2:7" ht="15">
      <c r="B18" s="117" t="s">
        <v>122</v>
      </c>
      <c r="C18" s="118"/>
      <c r="D18" s="118"/>
      <c r="E18" s="117" t="s">
        <v>123</v>
      </c>
      <c r="F18" s="118"/>
      <c r="G18" s="118"/>
    </row>
    <row r="19" spans="1:7" ht="15">
      <c r="A19" s="55" t="s">
        <v>113</v>
      </c>
      <c r="B19" s="55" t="s">
        <v>116</v>
      </c>
      <c r="C19" s="55" t="s">
        <v>117</v>
      </c>
      <c r="D19" s="55" t="s">
        <v>121</v>
      </c>
      <c r="E19" s="55" t="s">
        <v>116</v>
      </c>
      <c r="F19" s="55" t="s">
        <v>117</v>
      </c>
      <c r="G19" s="55" t="s">
        <v>121</v>
      </c>
    </row>
    <row r="20" spans="1:7" ht="15">
      <c r="A20" s="55" t="s">
        <v>124</v>
      </c>
      <c r="B20" s="104">
        <v>5</v>
      </c>
      <c r="C20" s="104">
        <v>3.75</v>
      </c>
      <c r="D20" s="109">
        <f>B20*C20</f>
        <v>18.75</v>
      </c>
      <c r="E20" s="104">
        <v>10</v>
      </c>
      <c r="F20" s="104">
        <v>0.36</v>
      </c>
      <c r="G20" s="109">
        <f>E20*F20</f>
        <v>3.5999999999999996</v>
      </c>
    </row>
    <row r="21" spans="1:7" ht="15">
      <c r="A21" s="55" t="s">
        <v>115</v>
      </c>
      <c r="B21" s="104">
        <v>40</v>
      </c>
      <c r="C21" s="104">
        <v>0.45</v>
      </c>
      <c r="D21" s="109">
        <f>B21*C21</f>
        <v>18</v>
      </c>
      <c r="E21" s="104"/>
      <c r="F21" s="104"/>
      <c r="G21" s="109">
        <f>E21*F21</f>
        <v>0</v>
      </c>
    </row>
    <row r="22" spans="1:7" ht="15">
      <c r="A22" s="55" t="s">
        <v>118</v>
      </c>
      <c r="B22" s="56">
        <f>B13-B11</f>
        <v>51.599999999999994</v>
      </c>
      <c r="C22" s="104">
        <v>0.085</v>
      </c>
      <c r="D22" s="109">
        <f>B22*C22</f>
        <v>4.386</v>
      </c>
      <c r="E22" s="56">
        <f>C13-C11</f>
        <v>12.870000000000005</v>
      </c>
      <c r="F22" s="104">
        <v>0.085</v>
      </c>
      <c r="G22" s="109">
        <f>E22*F22</f>
        <v>1.0939500000000004</v>
      </c>
    </row>
    <row r="23" spans="1:7" ht="15">
      <c r="A23" s="55" t="s">
        <v>119</v>
      </c>
      <c r="B23" s="56">
        <f>B22</f>
        <v>51.599999999999994</v>
      </c>
      <c r="C23" s="104">
        <v>0.041</v>
      </c>
      <c r="D23" s="109">
        <f>B23*C23</f>
        <v>2.1155999999999997</v>
      </c>
      <c r="E23" s="56">
        <f>E22</f>
        <v>12.870000000000005</v>
      </c>
      <c r="F23" s="104">
        <v>0.041</v>
      </c>
      <c r="G23" s="109">
        <f>E23*F23</f>
        <v>0.5276700000000002</v>
      </c>
    </row>
    <row r="24" spans="1:7" ht="15">
      <c r="A24" s="55" t="s">
        <v>120</v>
      </c>
      <c r="B24" s="56">
        <f>B23</f>
        <v>51.599999999999994</v>
      </c>
      <c r="C24" s="104">
        <v>0.26</v>
      </c>
      <c r="D24" s="109">
        <f>B24*C24</f>
        <v>13.415999999999999</v>
      </c>
      <c r="E24" s="110" t="s">
        <v>125</v>
      </c>
      <c r="F24" s="110" t="s">
        <v>125</v>
      </c>
      <c r="G24" s="109">
        <v>0</v>
      </c>
    </row>
    <row r="25" spans="1:7" ht="15">
      <c r="A25" s="55" t="s">
        <v>107</v>
      </c>
      <c r="D25" s="107">
        <v>0</v>
      </c>
      <c r="G25" s="107">
        <v>0</v>
      </c>
    </row>
    <row r="26" spans="1:7" ht="15">
      <c r="A26" s="55" t="s">
        <v>56</v>
      </c>
      <c r="D26" s="39">
        <f>SUM(D20:D25)</f>
        <v>56.6676</v>
      </c>
      <c r="G26" s="39">
        <f>SUM(G20:G25)</f>
        <v>5.221620000000001</v>
      </c>
    </row>
    <row r="28" spans="2:4" ht="15">
      <c r="B28" s="55" t="s">
        <v>51</v>
      </c>
      <c r="C28" s="55" t="s">
        <v>50</v>
      </c>
      <c r="D28" s="55"/>
    </row>
    <row r="29" spans="1:3" ht="15.75" thickBot="1">
      <c r="A29" s="55" t="s">
        <v>110</v>
      </c>
      <c r="B29" s="56">
        <f>B13-B11</f>
        <v>51.599999999999994</v>
      </c>
      <c r="C29" s="56">
        <f>C13-C11</f>
        <v>12.870000000000005</v>
      </c>
    </row>
    <row r="30" spans="1:3" ht="15.75" thickBot="1">
      <c r="A30" s="108" t="s">
        <v>129</v>
      </c>
      <c r="B30" s="111">
        <f>B29*B16</f>
        <v>239.94</v>
      </c>
      <c r="C30" s="112">
        <f>C29*C16</f>
        <v>146.71800000000005</v>
      </c>
    </row>
    <row r="31" spans="2:3" ht="15">
      <c r="B31" s="57"/>
      <c r="C31" s="57"/>
    </row>
    <row r="32" spans="1:3" ht="15">
      <c r="A32" s="55" t="s">
        <v>111</v>
      </c>
      <c r="B32" s="57"/>
      <c r="C32" s="57"/>
    </row>
    <row r="33" spans="1:3" ht="15">
      <c r="A33" s="55" t="s">
        <v>108</v>
      </c>
      <c r="B33" s="39">
        <f>'Center Pivot'!D57</f>
        <v>154.6730769230769</v>
      </c>
      <c r="C33" s="39">
        <f>B33</f>
        <v>154.6730769230769</v>
      </c>
    </row>
    <row r="34" spans="1:3" ht="15.75" thickBot="1">
      <c r="A34" s="55" t="s">
        <v>109</v>
      </c>
      <c r="B34" s="39">
        <f>D26</f>
        <v>56.6676</v>
      </c>
      <c r="C34" s="39">
        <f>G26</f>
        <v>5.221620000000001</v>
      </c>
    </row>
    <row r="35" spans="1:3" ht="15.75" thickBot="1">
      <c r="A35" s="108" t="s">
        <v>130</v>
      </c>
      <c r="B35" s="113">
        <f>B33+B34</f>
        <v>211.3406769230769</v>
      </c>
      <c r="C35" s="114">
        <f>C33+C34</f>
        <v>159.8946969230769</v>
      </c>
    </row>
    <row r="36" spans="2:3" ht="15.75" thickBot="1">
      <c r="B36" s="57"/>
      <c r="C36" s="57"/>
    </row>
    <row r="37" spans="1:3" ht="15.75" thickBot="1">
      <c r="A37" s="108" t="s">
        <v>112</v>
      </c>
      <c r="B37" s="111">
        <f>B30-B35</f>
        <v>28.5993230769231</v>
      </c>
      <c r="C37" s="112">
        <f>C30-C35</f>
        <v>-13.176696923076861</v>
      </c>
    </row>
    <row r="49" ht="15">
      <c r="D49" s="61"/>
    </row>
  </sheetData>
  <sheetProtection password="CB01" sheet="1" objects="1" scenarios="1"/>
  <protectedRanges>
    <protectedRange password="CB01" sqref="B11:C12 B16:C16 B20:C21 C22:C24 E20:F21 F22:F23 G25 D25" name="Range1"/>
  </protectedRanges>
  <mergeCells count="2">
    <mergeCell ref="B18:D18"/>
    <mergeCell ref="E18:G18"/>
  </mergeCells>
  <hyperlinks>
    <hyperlink ref="B4" r:id="rId1" display="http://www.aae.wisc.edu/mitchell/extension.htm"/>
    <hyperlink ref="A5" r:id="rId2" display="mailto:pdmitchell@wisc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</dc:creator>
  <cp:keywords/>
  <dc:description/>
  <cp:lastModifiedBy>Paul D. Mitchell</cp:lastModifiedBy>
  <dcterms:created xsi:type="dcterms:W3CDTF">2014-03-04T21:09:50Z</dcterms:created>
  <dcterms:modified xsi:type="dcterms:W3CDTF">2014-03-20T21:48:38Z</dcterms:modified>
  <cp:category/>
  <cp:version/>
  <cp:contentType/>
  <cp:contentStatus/>
</cp:coreProperties>
</file>