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12" windowWidth="12384" windowHeight="9312" activeTab="0"/>
  </bookViews>
  <sheets>
    <sheet name="Irrigation Cost" sheetId="1" r:id="rId1"/>
    <sheet name="Crop Budget" sheetId="2" r:id="rId2"/>
  </sheets>
  <definedNames/>
  <calcPr fullCalcOnLoad="1"/>
</workbook>
</file>

<file path=xl/sharedStrings.xml><?xml version="1.0" encoding="utf-8"?>
<sst xmlns="http://schemas.openxmlformats.org/spreadsheetml/2006/main" count="186" uniqueCount="134">
  <si>
    <t>SUMMARY</t>
  </si>
  <si>
    <t>ANNUAL OWNERSHIP COSTS</t>
  </si>
  <si>
    <t>$/irg ac</t>
  </si>
  <si>
    <t xml:space="preserve"> Acres Irrigated (in 160)</t>
  </si>
  <si>
    <t>Depreciation Pivot &amp; Well</t>
  </si>
  <si>
    <t>Interest/Opportunity Cost</t>
  </si>
  <si>
    <t>CAPITAL COST</t>
  </si>
  <si>
    <t>Insurance</t>
  </si>
  <si>
    <t>Equipment Cost</t>
  </si>
  <si>
    <t>TOTAL ANNUAL OWNERSHIP COST</t>
  </si>
  <si>
    <t>Well, Pump, Motor, Pipe, Meter, Valves</t>
  </si>
  <si>
    <t>TOTAL CAPITAL COST</t>
  </si>
  <si>
    <t>OPERATING COSTS</t>
  </si>
  <si>
    <t>Electric Power</t>
  </si>
  <si>
    <t>OWNERSHIP COSTS</t>
  </si>
  <si>
    <t>Labor run/manage pivot</t>
  </si>
  <si>
    <t>Maintenance</t>
  </si>
  <si>
    <t>TOTAL ANNUAL OPERATING COST</t>
  </si>
  <si>
    <t>TOTAL COST</t>
  </si>
  <si>
    <t>TOTAL OWNERSHIP COST</t>
  </si>
  <si>
    <t>TOTAL OPERATING COST</t>
  </si>
  <si>
    <t>Crop Acres</t>
  </si>
  <si>
    <t>Scale Factor</t>
  </si>
  <si>
    <t>Scale Factor Calculation</t>
  </si>
  <si>
    <t>Machinery Costs</t>
  </si>
  <si>
    <t>Custom Rate</t>
  </si>
  <si>
    <t>Cost</t>
  </si>
  <si>
    <t>Moldboard Plow</t>
  </si>
  <si>
    <t>Tandem Disk</t>
  </si>
  <si>
    <t>Planter</t>
  </si>
  <si>
    <t>Sprayer</t>
  </si>
  <si>
    <t>Sidedress N</t>
  </si>
  <si>
    <t>Combine</t>
  </si>
  <si>
    <t>Variable Input Costs</t>
  </si>
  <si>
    <t>Fertility</t>
  </si>
  <si>
    <t>$/lbs</t>
  </si>
  <si>
    <t>lbs/ac</t>
  </si>
  <si>
    <t>Cost $/ac</t>
  </si>
  <si>
    <t>Nitrogen</t>
  </si>
  <si>
    <t>Phosphate</t>
  </si>
  <si>
    <t>Potash</t>
  </si>
  <si>
    <t>Total Fertility Costs</t>
  </si>
  <si>
    <t>Pesticides</t>
  </si>
  <si>
    <t>price/unit</t>
  </si>
  <si>
    <t>units/ac</t>
  </si>
  <si>
    <t>Prowl</t>
  </si>
  <si>
    <t>Atrazine</t>
  </si>
  <si>
    <t>Force</t>
  </si>
  <si>
    <t>Total Pesticide Costs</t>
  </si>
  <si>
    <t>Seed</t>
  </si>
  <si>
    <t>price/bag</t>
  </si>
  <si>
    <t>Seedcorn (34,000 units/ac)</t>
  </si>
  <si>
    <t>Total Seed Costs</t>
  </si>
  <si>
    <t>Micellaneous Inputs</t>
  </si>
  <si>
    <t>Micellaneous Input Costs</t>
  </si>
  <si>
    <t>TOTAL VARIABLE INPUTS</t>
  </si>
  <si>
    <t>Irrigation Costs</t>
  </si>
  <si>
    <t>Ownership (fixed) costs</t>
  </si>
  <si>
    <t>Operating (variable) costs</t>
  </si>
  <si>
    <t>Total Irrigation Costs</t>
  </si>
  <si>
    <t>Variable Harvest Costs</t>
  </si>
  <si>
    <t>Cost ($/ac)</t>
  </si>
  <si>
    <t>On Farm Hauling and Handling</t>
  </si>
  <si>
    <t>LP gas ($/gal)</t>
  </si>
  <si>
    <t>Total Variable Harvest Costs</t>
  </si>
  <si>
    <t>Summary</t>
  </si>
  <si>
    <t>% of Total</t>
  </si>
  <si>
    <t>Total  Machinery Cost</t>
  </si>
  <si>
    <t>Total Variable Input Cost</t>
  </si>
  <si>
    <t>Total Irrigation Cost</t>
  </si>
  <si>
    <t>Total Cost</t>
  </si>
  <si>
    <t>Average Yield (bu/ac)</t>
  </si>
  <si>
    <t>Expected Price ($/bu)</t>
  </si>
  <si>
    <t>Expected Revenue ($/ac)</t>
  </si>
  <si>
    <t>Net Returns to Land and Management</t>
  </si>
  <si>
    <t>Years</t>
  </si>
  <si>
    <t>Interest on Investment</t>
  </si>
  <si>
    <t>Rate (%)</t>
  </si>
  <si>
    <t>months</t>
  </si>
  <si>
    <t>Rate ($/mo)</t>
  </si>
  <si>
    <t xml:space="preserve">  Facility Charge</t>
  </si>
  <si>
    <t>Use (hrs/yr)</t>
  </si>
  <si>
    <t>Rate ($/KWH)</t>
  </si>
  <si>
    <t>Rate (% cost)</t>
  </si>
  <si>
    <t xml:space="preserve">  Energy</t>
  </si>
  <si>
    <t>Insurance (% new cost)</t>
  </si>
  <si>
    <t>Maintenance (% new cost)</t>
  </si>
  <si>
    <t xml:space="preserve">  Demand Charge</t>
  </si>
  <si>
    <t>TOTAL ELECTRIC POWER</t>
  </si>
  <si>
    <t>total ($)</t>
  </si>
  <si>
    <t>($/irg ac)</t>
  </si>
  <si>
    <t>Total $</t>
  </si>
  <si>
    <t>NET RETURNS FOR IRRIGATED CORN IN WI CENTRAL SANDS</t>
  </si>
  <si>
    <t>Paul D. Mitchell, Agricultural and Applied Economics, University of Wisconsin-Madison</t>
  </si>
  <si>
    <t>pdmitchell@wisc.edu</t>
  </si>
  <si>
    <t xml:space="preserve">http://www.aae.wisc.edu/mitchell/extension.htm </t>
  </si>
  <si>
    <t>(608) 265-6515       Extension Homepage</t>
  </si>
  <si>
    <t xml:space="preserve">Instructions: Fill in green cells.  Examples values have been provided for some cells.  </t>
  </si>
  <si>
    <t>Additional Machinery Operation</t>
  </si>
  <si>
    <t>Additional Input</t>
  </si>
  <si>
    <t>Additional Fertility Input</t>
  </si>
  <si>
    <t>Additional Pesticide</t>
  </si>
  <si>
    <t xml:space="preserve"> Hauling $/bu</t>
  </si>
  <si>
    <t>These are from the Irrigation Cost Sheet</t>
  </si>
  <si>
    <t>For Machinery costs, see A Fast and Simple Method to Estimate Machinery Costs</t>
  </si>
  <si>
    <r>
      <t xml:space="preserve">Note: be sure to complete the </t>
    </r>
    <r>
      <rPr>
        <b/>
        <u val="single"/>
        <sz val="10"/>
        <rFont val="Arial"/>
        <family val="2"/>
      </rPr>
      <t>Irrigation Cost</t>
    </r>
    <r>
      <rPr>
        <b/>
        <sz val="10"/>
        <rFont val="Arial"/>
        <family val="2"/>
      </rPr>
      <t xml:space="preserve"> sheet on the other tab</t>
    </r>
  </si>
  <si>
    <t>See A Fast and Simple Method to Estimate Machinery Costs</t>
  </si>
  <si>
    <t>kilowatts</t>
  </si>
  <si>
    <t>Crop Insurance (90% GRP + Hail)</t>
  </si>
  <si>
    <t>COST OF 160 AC CENTER PIVOT WITH CORNERS AND ELECTRIC PUMP</t>
  </si>
  <si>
    <t>(608) 265-6515           Extension Homepage</t>
  </si>
  <si>
    <t>Instructions: Fill in green cells.  If implied costs are incorrect, enter alternative projections in blue cells.</t>
  </si>
  <si>
    <t>Implied Depreciation</t>
  </si>
  <si>
    <t>Alternative Projection</t>
  </si>
  <si>
    <t>total</t>
  </si>
  <si>
    <t>(Straight Line) Depreciation Pivot</t>
  </si>
  <si>
    <t>(Straight Line) Depreciation Well</t>
  </si>
  <si>
    <t>Implied Cost</t>
  </si>
  <si>
    <t>POWER COSTS</t>
  </si>
  <si>
    <t>Electrical Motor Power</t>
  </si>
  <si>
    <t>LABOR &amp; MAINTENANCE COSTS</t>
  </si>
  <si>
    <t>minutes/hour</t>
  </si>
  <si>
    <t>Labor to run/manage pivot (per run-hour)</t>
  </si>
  <si>
    <t>Wage Rate($/hr)</t>
  </si>
  <si>
    <t>TOTAL LABOR &amp; MAINTENANCE</t>
  </si>
  <si>
    <t>Labor to run/manage pivot</t>
  </si>
  <si>
    <t xml:space="preserve">http://www.aae.wisc.edu/mitchell/Fast and Simple Method.pdf </t>
  </si>
  <si>
    <t>Interest Rate</t>
  </si>
  <si>
    <t>Interest on input costs (8 months)</t>
  </si>
  <si>
    <t>http://www.nass.usda.gov/wi/custom_rate_2004.pdf</t>
  </si>
  <si>
    <t>Link to the 2004 Wisconsin Custom Rate Guide</t>
  </si>
  <si>
    <t>planting density</t>
  </si>
  <si>
    <t>% points to dry</t>
  </si>
  <si>
    <t>Grain Drying (@ 0.02 gals LP/% pt)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</si>
</sst>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0.0%"/>
    <numFmt numFmtId="168" formatCode="&quot;$&quot;#,##0.0_);[Red]\(&quot;$&quot;#,##0.0\)"/>
    <numFmt numFmtId="169" formatCode="&quot;$&quot;#,##0.0"/>
    <numFmt numFmtId="170" formatCode="&quot;$&quot;#,##0.00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7" fontId="2" fillId="2" borderId="0" xfId="17" applyNumberFormat="1" applyFont="1" applyFill="1" applyAlignment="1" applyProtection="1">
      <alignment horizontal="right"/>
      <protection locked="0"/>
    </xf>
    <xf numFmtId="7" fontId="2" fillId="2" borderId="0" xfId="17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7" fontId="2" fillId="2" borderId="0" xfId="0" applyNumberFormat="1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6" fontId="2" fillId="2" borderId="0" xfId="0" applyNumberFormat="1" applyFont="1" applyFill="1" applyBorder="1" applyAlignment="1" applyProtection="1">
      <alignment horizontal="right"/>
      <protection locked="0"/>
    </xf>
    <xf numFmtId="9" fontId="2" fillId="2" borderId="0" xfId="21" applyFont="1" applyFill="1" applyAlignment="1" applyProtection="1">
      <alignment horizontal="center"/>
      <protection locked="0"/>
    </xf>
    <xf numFmtId="167" fontId="2" fillId="2" borderId="0" xfId="21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70" fontId="2" fillId="2" borderId="0" xfId="0" applyNumberFormat="1" applyFont="1" applyFill="1" applyAlignment="1" applyProtection="1">
      <alignment horizontal="center"/>
      <protection locked="0"/>
    </xf>
    <xf numFmtId="164" fontId="2" fillId="3" borderId="0" xfId="0" applyNumberFormat="1" applyFont="1" applyFill="1" applyAlignment="1" applyProtection="1">
      <alignment/>
      <protection locked="0"/>
    </xf>
    <xf numFmtId="9" fontId="2" fillId="2" borderId="0" xfId="0" applyNumberFormat="1" applyFont="1" applyFill="1" applyAlignment="1" applyProtection="1">
      <alignment horizontal="center"/>
      <protection locked="0"/>
    </xf>
    <xf numFmtId="7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2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4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7" fontId="2" fillId="0" borderId="0" xfId="17" applyNumberFormat="1" applyFont="1" applyFill="1" applyAlignment="1" applyProtection="1">
      <alignment horizontal="right"/>
      <protection/>
    </xf>
    <xf numFmtId="7" fontId="2" fillId="0" borderId="0" xfId="17" applyNumberFormat="1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/>
      <protection/>
    </xf>
    <xf numFmtId="44" fontId="2" fillId="0" borderId="1" xfId="0" applyNumberFormat="1" applyFont="1" applyFill="1" applyBorder="1" applyAlignment="1" applyProtection="1">
      <alignment horizontal="right"/>
      <protection/>
    </xf>
    <xf numFmtId="7" fontId="2" fillId="0" borderId="2" xfId="0" applyNumberFormat="1" applyFont="1" applyFill="1" applyBorder="1" applyAlignment="1" applyProtection="1">
      <alignment horizontal="right"/>
      <protection/>
    </xf>
    <xf numFmtId="0" fontId="2" fillId="0" borderId="3" xfId="0" applyFont="1" applyFill="1" applyBorder="1" applyAlignment="1" applyProtection="1">
      <alignment horizontal="left"/>
      <protection/>
    </xf>
    <xf numFmtId="7" fontId="2" fillId="0" borderId="0" xfId="0" applyNumberFormat="1" applyFont="1" applyFill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/>
      <protection/>
    </xf>
    <xf numFmtId="0" fontId="2" fillId="0" borderId="4" xfId="0" applyFont="1" applyFill="1" applyBorder="1" applyAlignment="1" applyProtection="1">
      <alignment horizontal="right"/>
      <protection/>
    </xf>
    <xf numFmtId="0" fontId="2" fillId="0" borderId="3" xfId="0" applyFont="1" applyFill="1" applyBorder="1" applyAlignment="1" applyProtection="1">
      <alignment/>
      <protection/>
    </xf>
    <xf numFmtId="44" fontId="2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9" fontId="2" fillId="0" borderId="0" xfId="21" applyNumberFormat="1" applyFont="1" applyFill="1" applyAlignment="1" applyProtection="1">
      <alignment horizontal="center"/>
      <protection/>
    </xf>
    <xf numFmtId="165" fontId="2" fillId="0" borderId="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8" fontId="3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8" fontId="3" fillId="0" borderId="5" xfId="0" applyNumberFormat="1" applyFont="1" applyBorder="1" applyAlignment="1" applyProtection="1">
      <alignment horizontal="right"/>
      <protection/>
    </xf>
    <xf numFmtId="8" fontId="2" fillId="0" borderId="0" xfId="0" applyNumberFormat="1" applyFont="1" applyBorder="1" applyAlignment="1" applyProtection="1">
      <alignment/>
      <protection/>
    </xf>
    <xf numFmtId="8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right"/>
      <protection/>
    </xf>
    <xf numFmtId="0" fontId="2" fillId="0" borderId="5" xfId="0" applyFont="1" applyFill="1" applyBorder="1" applyAlignment="1" applyProtection="1">
      <alignment horizontal="right"/>
      <protection/>
    </xf>
    <xf numFmtId="8" fontId="3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8" fontId="3" fillId="0" borderId="5" xfId="0" applyNumberFormat="1" applyFont="1" applyBorder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right"/>
      <protection/>
    </xf>
    <xf numFmtId="6" fontId="2" fillId="0" borderId="4" xfId="0" applyNumberFormat="1" applyFont="1" applyBorder="1" applyAlignment="1" applyProtection="1">
      <alignment horizontal="right"/>
      <protection/>
    </xf>
    <xf numFmtId="8" fontId="2" fillId="0" borderId="2" xfId="0" applyNumberFormat="1" applyFont="1" applyBorder="1" applyAlignment="1" applyProtection="1">
      <alignment/>
      <protection/>
    </xf>
    <xf numFmtId="8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8" fontId="2" fillId="0" borderId="2" xfId="0" applyNumberFormat="1" applyFont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6" fontId="2" fillId="0" borderId="0" xfId="0" applyNumberFormat="1" applyFont="1" applyAlignment="1" applyProtection="1">
      <alignment horizontal="right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right"/>
      <protection/>
    </xf>
    <xf numFmtId="6" fontId="2" fillId="0" borderId="0" xfId="0" applyNumberFormat="1" applyFont="1" applyBorder="1" applyAlignment="1" applyProtection="1">
      <alignment horizontal="right"/>
      <protection/>
    </xf>
    <xf numFmtId="8" fontId="2" fillId="0" borderId="10" xfId="0" applyNumberFormat="1" applyFont="1" applyBorder="1" applyAlignment="1" applyProtection="1">
      <alignment horizontal="right"/>
      <protection/>
    </xf>
    <xf numFmtId="6" fontId="2" fillId="0" borderId="5" xfId="0" applyNumberFormat="1" applyFont="1" applyBorder="1" applyAlignment="1" applyProtection="1">
      <alignment horizontal="right"/>
      <protection/>
    </xf>
    <xf numFmtId="8" fontId="2" fillId="0" borderId="11" xfId="0" applyNumberFormat="1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8" fontId="2" fillId="0" borderId="10" xfId="0" applyNumberFormat="1" applyFont="1" applyBorder="1" applyAlignment="1" applyProtection="1">
      <alignment/>
      <protection/>
    </xf>
    <xf numFmtId="6" fontId="2" fillId="0" borderId="5" xfId="0" applyNumberFormat="1" applyFont="1" applyBorder="1" applyAlignment="1" applyProtection="1">
      <alignment/>
      <protection/>
    </xf>
    <xf numFmtId="8" fontId="2" fillId="0" borderId="11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6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4" fillId="0" borderId="0" xfId="20" applyAlignment="1" applyProtection="1">
      <alignment horizontal="left"/>
      <protection/>
    </xf>
    <xf numFmtId="0" fontId="4" fillId="0" borderId="0" xfId="2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4" borderId="0" xfId="20" applyFill="1" applyAlignment="1" applyProtection="1">
      <alignment horizontal="left"/>
      <protection/>
    </xf>
    <xf numFmtId="0" fontId="4" fillId="4" borderId="0" xfId="20" applyFont="1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 horizontal="left"/>
      <protection/>
    </xf>
    <xf numFmtId="3" fontId="2" fillId="2" borderId="0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e.wisc.edu/mitchell/extension.htm" TargetMode="External" /><Relationship Id="rId2" Type="http://schemas.openxmlformats.org/officeDocument/2006/relationships/hyperlink" Target="mailto:pdmitchell@wisc.ed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ae.wisc.edu/mitchell/extension.htm" TargetMode="External" /><Relationship Id="rId2" Type="http://schemas.openxmlformats.org/officeDocument/2006/relationships/hyperlink" Target="mailto:pdmitchell@wisc.edu" TargetMode="External" /><Relationship Id="rId3" Type="http://schemas.openxmlformats.org/officeDocument/2006/relationships/hyperlink" Target="http://www.aae.wisc.edu/mitchell/Fast%20and%20Simple%20Method.pdf" TargetMode="External" /><Relationship Id="rId4" Type="http://schemas.openxmlformats.org/officeDocument/2006/relationships/hyperlink" Target="http://www.aae.wisc.edu/mitchell/Fast%20and%20Simple%20Method.pdf" TargetMode="External" /><Relationship Id="rId5" Type="http://schemas.openxmlformats.org/officeDocument/2006/relationships/hyperlink" Target="http://www.nass.usda.gov/wi/custom_rate_2004.pdf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57421875" style="23" customWidth="1"/>
    <col min="2" max="2" width="12.421875" style="23" bestFit="1" customWidth="1"/>
    <col min="3" max="3" width="11.421875" style="23" bestFit="1" customWidth="1"/>
    <col min="4" max="4" width="9.421875" style="23" customWidth="1"/>
    <col min="5" max="6" width="10.28125" style="23" customWidth="1"/>
    <col min="7" max="7" width="9.8515625" style="45" customWidth="1"/>
    <col min="8" max="8" width="9.00390625" style="45" customWidth="1"/>
    <col min="9" max="16" width="8.8515625" style="23" customWidth="1"/>
    <col min="17" max="17" width="33.28125" style="23" bestFit="1" customWidth="1"/>
    <col min="18" max="18" width="8.28125" style="23" bestFit="1" customWidth="1"/>
    <col min="19" max="16384" width="8.8515625" style="23" customWidth="1"/>
  </cols>
  <sheetData>
    <row r="1" spans="1:18" ht="17.25">
      <c r="A1" s="44" t="s">
        <v>109</v>
      </c>
      <c r="Q1" s="46" t="s">
        <v>0</v>
      </c>
      <c r="R1" s="46"/>
    </row>
    <row r="2" spans="7:18" ht="4.5" customHeight="1">
      <c r="G2" s="47"/>
      <c r="Q2" s="46" t="s">
        <v>1</v>
      </c>
      <c r="R2" s="48" t="s">
        <v>2</v>
      </c>
    </row>
    <row r="3" spans="1:6" s="21" customFormat="1" ht="12.75">
      <c r="A3" s="21" t="s">
        <v>93</v>
      </c>
      <c r="C3" s="19"/>
      <c r="D3" s="19"/>
      <c r="E3" s="19"/>
      <c r="F3" s="19"/>
    </row>
    <row r="4" spans="1:2" s="21" customFormat="1" ht="12.75">
      <c r="A4" s="21" t="s">
        <v>110</v>
      </c>
      <c r="B4" s="22" t="s">
        <v>95</v>
      </c>
    </row>
    <row r="5" spans="1:6" s="21" customFormat="1" ht="12.75">
      <c r="A5" s="22" t="s">
        <v>94</v>
      </c>
      <c r="C5" s="19"/>
      <c r="D5" s="19"/>
      <c r="E5" s="19"/>
      <c r="F5" s="19"/>
    </row>
    <row r="6" spans="3:6" s="21" customFormat="1" ht="6" customHeight="1">
      <c r="C6" s="19"/>
      <c r="D6" s="19"/>
      <c r="E6" s="19"/>
      <c r="F6" s="19"/>
    </row>
    <row r="7" spans="1:6" s="21" customFormat="1" ht="12.75">
      <c r="A7" s="23" t="s">
        <v>111</v>
      </c>
      <c r="C7" s="19"/>
      <c r="D7" s="19"/>
      <c r="E7" s="19"/>
      <c r="F7" s="19"/>
    </row>
    <row r="8" spans="3:6" s="21" customFormat="1" ht="12.75">
      <c r="C8" s="19"/>
      <c r="D8" s="19"/>
      <c r="E8" s="19"/>
      <c r="F8" s="19"/>
    </row>
    <row r="9" spans="1:18" ht="12.75">
      <c r="A9" s="49" t="s">
        <v>3</v>
      </c>
      <c r="B9" s="9">
        <v>150</v>
      </c>
      <c r="Q9" s="46" t="s">
        <v>4</v>
      </c>
      <c r="R9" s="50">
        <v>31.166666666666664</v>
      </c>
    </row>
    <row r="10" spans="1:18" ht="12.75">
      <c r="A10" s="49"/>
      <c r="H10" s="51"/>
      <c r="Q10" s="46" t="s">
        <v>5</v>
      </c>
      <c r="R10" s="50">
        <v>51.8</v>
      </c>
    </row>
    <row r="11" spans="1:18" ht="13.5" thickBot="1">
      <c r="A11" s="52" t="s">
        <v>6</v>
      </c>
      <c r="B11" s="51" t="s">
        <v>89</v>
      </c>
      <c r="C11" s="51" t="s">
        <v>90</v>
      </c>
      <c r="Q11" s="46" t="s">
        <v>7</v>
      </c>
      <c r="R11" s="53">
        <v>3.7</v>
      </c>
    </row>
    <row r="12" spans="1:18" ht="12.75">
      <c r="A12" s="49" t="s">
        <v>8</v>
      </c>
      <c r="B12" s="10">
        <v>76000</v>
      </c>
      <c r="C12" s="54">
        <f>B12/B9</f>
        <v>506.6666666666667</v>
      </c>
      <c r="Q12" s="46" t="s">
        <v>9</v>
      </c>
      <c r="R12" s="55">
        <v>86.66666666666667</v>
      </c>
    </row>
    <row r="13" spans="1:18" ht="12.75">
      <c r="A13" s="49" t="s">
        <v>10</v>
      </c>
      <c r="B13" s="10">
        <v>35000</v>
      </c>
      <c r="C13" s="54">
        <f>B13/B9</f>
        <v>233.33333333333334</v>
      </c>
      <c r="Q13" s="46"/>
      <c r="R13" s="56"/>
    </row>
    <row r="14" spans="1:18" ht="12.75">
      <c r="A14" s="49" t="s">
        <v>11</v>
      </c>
      <c r="B14" s="57">
        <f>B12+B13</f>
        <v>111000</v>
      </c>
      <c r="C14" s="54">
        <f>C12+C13</f>
        <v>740</v>
      </c>
      <c r="Q14" s="46" t="s">
        <v>12</v>
      </c>
      <c r="R14" s="58" t="s">
        <v>2</v>
      </c>
    </row>
    <row r="15" spans="1:18" ht="4.5" customHeight="1">
      <c r="A15" s="49"/>
      <c r="B15" s="57"/>
      <c r="C15" s="54"/>
      <c r="Q15" s="46"/>
      <c r="R15" s="58"/>
    </row>
    <row r="16" spans="1:18" ht="12.75" customHeight="1">
      <c r="A16" s="49"/>
      <c r="C16" s="96" t="s">
        <v>112</v>
      </c>
      <c r="D16" s="96"/>
      <c r="E16" s="97" t="s">
        <v>113</v>
      </c>
      <c r="F16" s="97"/>
      <c r="Q16" s="46" t="s">
        <v>13</v>
      </c>
      <c r="R16" s="55">
        <v>9.712</v>
      </c>
    </row>
    <row r="17" spans="1:18" ht="13.5" thickBot="1">
      <c r="A17" s="52" t="s">
        <v>14</v>
      </c>
      <c r="B17" s="47" t="s">
        <v>75</v>
      </c>
      <c r="C17" s="60" t="s">
        <v>114</v>
      </c>
      <c r="D17" s="60" t="s">
        <v>2</v>
      </c>
      <c r="E17" s="60" t="s">
        <v>114</v>
      </c>
      <c r="F17" s="60" t="s">
        <v>2</v>
      </c>
      <c r="G17" s="61" t="s">
        <v>114</v>
      </c>
      <c r="H17" s="61" t="s">
        <v>2</v>
      </c>
      <c r="Q17" s="46" t="s">
        <v>15</v>
      </c>
      <c r="R17" s="62">
        <v>1.3333333333333333</v>
      </c>
    </row>
    <row r="18" spans="1:18" ht="12.75">
      <c r="A18" s="49" t="s">
        <v>115</v>
      </c>
      <c r="B18" s="4">
        <v>20</v>
      </c>
      <c r="C18" s="63">
        <f>B12/B18</f>
        <v>3800</v>
      </c>
      <c r="D18" s="64">
        <f>C18/$B$9</f>
        <v>25.333333333333332</v>
      </c>
      <c r="E18" s="15"/>
      <c r="F18" s="65">
        <f>IF(E18="","",E18/$B$9)</f>
      </c>
      <c r="G18" s="57">
        <f>IF(E18="",C18,E18)</f>
        <v>3800</v>
      </c>
      <c r="H18" s="54">
        <f>IF(F18="",D18,F18)</f>
        <v>25.333333333333332</v>
      </c>
      <c r="Q18" s="46" t="s">
        <v>16</v>
      </c>
      <c r="R18" s="62">
        <v>11.1</v>
      </c>
    </row>
    <row r="19" spans="1:18" ht="13.5" thickBot="1">
      <c r="A19" s="49" t="s">
        <v>116</v>
      </c>
      <c r="B19" s="4">
        <v>40</v>
      </c>
      <c r="C19" s="63">
        <f>B13/B19</f>
        <v>875</v>
      </c>
      <c r="D19" s="64">
        <f>C19/$B$9</f>
        <v>5.833333333333333</v>
      </c>
      <c r="E19" s="15"/>
      <c r="F19" s="65">
        <f>IF(E19="","",E19/$B$9)</f>
      </c>
      <c r="G19" s="57">
        <f>IF(E19="",C19,E19)</f>
        <v>875</v>
      </c>
      <c r="H19" s="54">
        <f>IF(F19="",D19,F19)</f>
        <v>5.833333333333333</v>
      </c>
      <c r="Q19" s="46" t="s">
        <v>17</v>
      </c>
      <c r="R19" s="66">
        <v>22.145333333333333</v>
      </c>
    </row>
    <row r="20" spans="1:18" ht="5.25" customHeight="1">
      <c r="A20" s="49"/>
      <c r="B20" s="59"/>
      <c r="G20" s="57"/>
      <c r="H20" s="54"/>
      <c r="Q20" s="46"/>
      <c r="R20" s="62"/>
    </row>
    <row r="21" spans="1:18" ht="12.75">
      <c r="A21" s="49"/>
      <c r="B21" s="59"/>
      <c r="C21" s="96" t="s">
        <v>117</v>
      </c>
      <c r="D21" s="96"/>
      <c r="E21" s="97" t="s">
        <v>113</v>
      </c>
      <c r="F21" s="97"/>
      <c r="G21" s="57"/>
      <c r="H21" s="54"/>
      <c r="Q21" s="46"/>
      <c r="R21" s="62"/>
    </row>
    <row r="22" spans="1:18" ht="12.75">
      <c r="A22" s="49"/>
      <c r="B22" s="59" t="s">
        <v>77</v>
      </c>
      <c r="C22" s="51" t="s">
        <v>114</v>
      </c>
      <c r="D22" s="51" t="s">
        <v>2</v>
      </c>
      <c r="E22" s="51" t="s">
        <v>114</v>
      </c>
      <c r="F22" s="51" t="s">
        <v>2</v>
      </c>
      <c r="G22" s="57"/>
      <c r="H22" s="54"/>
      <c r="Q22" s="46"/>
      <c r="R22" s="62"/>
    </row>
    <row r="23" spans="1:18" ht="12.75">
      <c r="A23" s="49" t="s">
        <v>76</v>
      </c>
      <c r="B23" s="11">
        <v>0.07</v>
      </c>
      <c r="C23" s="63">
        <f>B14*B23</f>
        <v>7770.000000000001</v>
      </c>
      <c r="D23" s="64">
        <f>C23/$B$9</f>
        <v>51.800000000000004</v>
      </c>
      <c r="E23" s="15"/>
      <c r="F23" s="65">
        <f>IF(E23="","",E23/$B$9)</f>
      </c>
      <c r="G23" s="57">
        <f>IF(E23="",C23,E23)</f>
        <v>7770.000000000001</v>
      </c>
      <c r="H23" s="54">
        <f>IF(F23="",D23,F23)</f>
        <v>51.800000000000004</v>
      </c>
      <c r="Q23" s="48" t="s">
        <v>18</v>
      </c>
      <c r="R23" s="67">
        <v>108.81200000000001</v>
      </c>
    </row>
    <row r="24" spans="1:8" ht="12.75">
      <c r="A24" s="49" t="s">
        <v>85</v>
      </c>
      <c r="B24" s="12">
        <v>0.005</v>
      </c>
      <c r="C24" s="63">
        <f>B14*B24</f>
        <v>555</v>
      </c>
      <c r="D24" s="64">
        <f>C24/$B$9</f>
        <v>3.7</v>
      </c>
      <c r="E24" s="15"/>
      <c r="F24" s="65">
        <f>IF(E24="","",E24/$B$9)</f>
      </c>
      <c r="G24" s="57">
        <f>IF(E24="",C24,E24)</f>
        <v>555</v>
      </c>
      <c r="H24" s="54">
        <f>IF(F24="",D24,F24)</f>
        <v>3.7</v>
      </c>
    </row>
    <row r="25" ht="3.75" customHeight="1" thickBot="1">
      <c r="J25" s="49"/>
    </row>
    <row r="26" spans="1:8" ht="13.5" thickBot="1">
      <c r="A26" s="49"/>
      <c r="D26" s="68"/>
      <c r="E26" s="69"/>
      <c r="F26" s="70" t="s">
        <v>19</v>
      </c>
      <c r="G26" s="71">
        <f>SUM(G18:G24)</f>
        <v>13000</v>
      </c>
      <c r="H26" s="72">
        <f>G26/$B$9</f>
        <v>86.66666666666667</v>
      </c>
    </row>
    <row r="27" ht="4.5" customHeight="1">
      <c r="J27" s="49"/>
    </row>
    <row r="28" spans="1:6" ht="12.75">
      <c r="A28" s="52" t="s">
        <v>118</v>
      </c>
      <c r="B28" s="59" t="s">
        <v>107</v>
      </c>
      <c r="C28" s="59"/>
      <c r="D28" s="59"/>
      <c r="E28" s="59"/>
      <c r="F28" s="59"/>
    </row>
    <row r="29" spans="1:8" ht="13.5" thickBot="1">
      <c r="A29" s="49" t="s">
        <v>119</v>
      </c>
      <c r="B29" s="4">
        <v>65</v>
      </c>
      <c r="C29" s="59"/>
      <c r="G29" s="60" t="s">
        <v>114</v>
      </c>
      <c r="H29" s="60" t="s">
        <v>2</v>
      </c>
    </row>
    <row r="30" spans="1:8" ht="12.75">
      <c r="A30" s="49"/>
      <c r="B30" s="59" t="s">
        <v>79</v>
      </c>
      <c r="C30" s="59" t="s">
        <v>78</v>
      </c>
      <c r="G30" s="51"/>
      <c r="H30" s="51"/>
    </row>
    <row r="31" spans="1:8" ht="12.75">
      <c r="A31" s="49" t="s">
        <v>87</v>
      </c>
      <c r="B31" s="13">
        <v>1</v>
      </c>
      <c r="C31" s="4">
        <v>6</v>
      </c>
      <c r="G31" s="57">
        <f>B$29*B31*C31</f>
        <v>390</v>
      </c>
      <c r="H31" s="73">
        <f>G31/$B$9</f>
        <v>2.6</v>
      </c>
    </row>
    <row r="32" spans="1:8" ht="12.75">
      <c r="A32" s="49" t="s">
        <v>80</v>
      </c>
      <c r="B32" s="13">
        <v>85</v>
      </c>
      <c r="C32" s="4">
        <v>12</v>
      </c>
      <c r="G32" s="74">
        <f>B32*C32</f>
        <v>1020</v>
      </c>
      <c r="H32" s="73">
        <f>G32/$B$9</f>
        <v>6.8</v>
      </c>
    </row>
    <row r="33" spans="1:8" ht="4.5" customHeight="1">
      <c r="A33" s="49"/>
      <c r="B33" s="59"/>
      <c r="C33" s="59"/>
      <c r="G33" s="74"/>
      <c r="H33" s="73"/>
    </row>
    <row r="34" spans="1:8" ht="12.75">
      <c r="A34" s="49"/>
      <c r="B34" s="59" t="s">
        <v>82</v>
      </c>
      <c r="C34" s="49" t="s">
        <v>81</v>
      </c>
      <c r="G34" s="74"/>
      <c r="H34" s="73"/>
    </row>
    <row r="35" spans="1:8" ht="12.75">
      <c r="A35" s="49" t="s">
        <v>84</v>
      </c>
      <c r="B35" s="14">
        <v>0.039</v>
      </c>
      <c r="C35" s="4">
        <v>1200</v>
      </c>
      <c r="G35" s="74">
        <f>C35*B29*B35</f>
        <v>3042</v>
      </c>
      <c r="H35" s="73">
        <f>G35/$B$9</f>
        <v>20.28</v>
      </c>
    </row>
    <row r="36" spans="1:8" ht="4.5" customHeight="1" thickBot="1">
      <c r="A36" s="49"/>
      <c r="B36" s="49"/>
      <c r="C36" s="49"/>
      <c r="D36" s="74"/>
      <c r="G36" s="73"/>
      <c r="H36" s="23"/>
    </row>
    <row r="37" spans="4:8" ht="13.5" thickBot="1">
      <c r="D37" s="68"/>
      <c r="E37" s="75"/>
      <c r="F37" s="70" t="s">
        <v>88</v>
      </c>
      <c r="G37" s="71">
        <f>G31+G32+G35</f>
        <v>4452</v>
      </c>
      <c r="H37" s="76">
        <f>G37/$B$9</f>
        <v>29.68</v>
      </c>
    </row>
    <row r="38" spans="1:8" ht="12.75" customHeight="1">
      <c r="A38" s="49"/>
      <c r="G38" s="23"/>
      <c r="H38" s="23"/>
    </row>
    <row r="39" spans="1:8" ht="12.75">
      <c r="A39" s="52" t="s">
        <v>120</v>
      </c>
      <c r="B39" s="23" t="s">
        <v>121</v>
      </c>
      <c r="C39" s="96" t="s">
        <v>117</v>
      </c>
      <c r="D39" s="96"/>
      <c r="E39" s="97" t="s">
        <v>113</v>
      </c>
      <c r="F39" s="97"/>
      <c r="G39" s="57"/>
      <c r="H39" s="73"/>
    </row>
    <row r="40" spans="1:8" ht="13.5" thickBot="1">
      <c r="A40" s="49" t="s">
        <v>122</v>
      </c>
      <c r="B40" s="4">
        <v>1</v>
      </c>
      <c r="C40" s="60" t="s">
        <v>114</v>
      </c>
      <c r="D40" s="60" t="s">
        <v>2</v>
      </c>
      <c r="E40" s="60" t="s">
        <v>114</v>
      </c>
      <c r="F40" s="60" t="s">
        <v>2</v>
      </c>
      <c r="G40" s="60" t="s">
        <v>114</v>
      </c>
      <c r="H40" s="60" t="s">
        <v>2</v>
      </c>
    </row>
    <row r="41" spans="1:8" ht="12.75">
      <c r="A41" s="49" t="s">
        <v>123</v>
      </c>
      <c r="B41" s="4">
        <v>10</v>
      </c>
      <c r="C41" s="77">
        <f>(B40/60)*C35*B41</f>
        <v>200</v>
      </c>
      <c r="D41" s="78">
        <f>C41/$B$9</f>
        <v>1.3333333333333333</v>
      </c>
      <c r="E41" s="15"/>
      <c r="F41" s="65">
        <f>IF(E41="","",E41/$B$9)</f>
      </c>
      <c r="G41" s="57">
        <f>IF(E41="",C41,E41)</f>
        <v>200</v>
      </c>
      <c r="H41" s="54">
        <f>IF(F41="",D41,F41)</f>
        <v>1.3333333333333333</v>
      </c>
    </row>
    <row r="42" spans="1:8" ht="12.75">
      <c r="A42" s="49"/>
      <c r="B42" s="59" t="s">
        <v>83</v>
      </c>
      <c r="C42" s="59"/>
      <c r="D42" s="59"/>
      <c r="E42" s="59"/>
      <c r="G42" s="57"/>
      <c r="H42" s="73"/>
    </row>
    <row r="43" spans="1:8" ht="12.75">
      <c r="A43" s="49" t="s">
        <v>86</v>
      </c>
      <c r="B43" s="12">
        <v>0.015</v>
      </c>
      <c r="C43" s="79">
        <f>B43*B14</f>
        <v>1665</v>
      </c>
      <c r="D43" s="78">
        <f>C43/$B$9</f>
        <v>11.1</v>
      </c>
      <c r="E43" s="15"/>
      <c r="F43" s="65">
        <f>IF(E43="","",E43/$B$9)</f>
      </c>
      <c r="G43" s="57">
        <f>IF(E43="",C43,E43)</f>
        <v>1665</v>
      </c>
      <c r="H43" s="54">
        <f>IF(F43="",D43,F43)</f>
        <v>11.1</v>
      </c>
    </row>
    <row r="44" spans="1:9" ht="6" customHeight="1" thickBot="1">
      <c r="A44" s="49"/>
      <c r="G44" s="23"/>
      <c r="H44" s="57"/>
      <c r="I44" s="73"/>
    </row>
    <row r="45" spans="1:9" ht="13.5" thickBot="1">
      <c r="A45" s="49"/>
      <c r="D45" s="68"/>
      <c r="E45" s="75"/>
      <c r="F45" s="70" t="s">
        <v>124</v>
      </c>
      <c r="G45" s="71">
        <f>G41+G43</f>
        <v>1865</v>
      </c>
      <c r="H45" s="76">
        <f>G45/$B$9</f>
        <v>12.433333333333334</v>
      </c>
      <c r="I45" s="73"/>
    </row>
    <row r="46" spans="1:9" ht="13.5" thickBot="1">
      <c r="A46" s="49"/>
      <c r="G46" s="23"/>
      <c r="H46" s="57"/>
      <c r="I46" s="73"/>
    </row>
    <row r="47" spans="1:9" ht="12.75">
      <c r="A47" s="80" t="s">
        <v>0</v>
      </c>
      <c r="B47" s="81" t="s">
        <v>91</v>
      </c>
      <c r="C47" s="82" t="s">
        <v>2</v>
      </c>
      <c r="D47" s="73"/>
      <c r="E47" s="73"/>
      <c r="F47" s="73"/>
      <c r="G47" s="73"/>
      <c r="H47" s="73"/>
      <c r="I47" s="73"/>
    </row>
    <row r="48" spans="1:9" ht="12.75">
      <c r="A48" s="83" t="s">
        <v>4</v>
      </c>
      <c r="B48" s="84">
        <f>G18+G19</f>
        <v>4675</v>
      </c>
      <c r="C48" s="85">
        <f>H18+H19</f>
        <v>31.166666666666664</v>
      </c>
      <c r="D48" s="73"/>
      <c r="E48" s="73"/>
      <c r="F48" s="73"/>
      <c r="G48" s="73"/>
      <c r="H48" s="73"/>
      <c r="I48" s="73"/>
    </row>
    <row r="49" spans="1:9" ht="12.75">
      <c r="A49" s="83" t="s">
        <v>5</v>
      </c>
      <c r="B49" s="84">
        <f>G23</f>
        <v>7770.000000000001</v>
      </c>
      <c r="C49" s="85">
        <f>H23</f>
        <v>51.800000000000004</v>
      </c>
      <c r="E49" s="73"/>
      <c r="F49" s="73"/>
      <c r="G49" s="73"/>
      <c r="H49" s="73"/>
      <c r="I49" s="73"/>
    </row>
    <row r="50" spans="1:9" ht="13.5" thickBot="1">
      <c r="A50" s="83" t="s">
        <v>7</v>
      </c>
      <c r="B50" s="86">
        <f>G24</f>
        <v>555</v>
      </c>
      <c r="C50" s="87">
        <f>H24</f>
        <v>3.7</v>
      </c>
      <c r="E50" s="73"/>
      <c r="F50" s="73"/>
      <c r="G50" s="73"/>
      <c r="H50" s="73"/>
      <c r="I50" s="73"/>
    </row>
    <row r="51" spans="1:9" ht="12.75">
      <c r="A51" s="83" t="s">
        <v>19</v>
      </c>
      <c r="B51" s="84">
        <f>SUM(B48:B50)</f>
        <v>13000</v>
      </c>
      <c r="C51" s="85">
        <f>SUM(C48:C50)</f>
        <v>86.66666666666667</v>
      </c>
      <c r="E51" s="73"/>
      <c r="F51" s="73"/>
      <c r="G51" s="73"/>
      <c r="H51" s="73"/>
      <c r="I51" s="73"/>
    </row>
    <row r="52" spans="1:8" ht="12.75">
      <c r="A52" s="88"/>
      <c r="B52" s="57"/>
      <c r="C52" s="89"/>
      <c r="E52" s="73"/>
      <c r="F52" s="73"/>
      <c r="G52" s="73"/>
      <c r="H52" s="73"/>
    </row>
    <row r="53" spans="1:8" ht="12.75">
      <c r="A53" s="83" t="s">
        <v>13</v>
      </c>
      <c r="B53" s="84">
        <f>G37</f>
        <v>4452</v>
      </c>
      <c r="C53" s="85">
        <f>H37</f>
        <v>29.68</v>
      </c>
      <c r="E53" s="73"/>
      <c r="F53" s="73"/>
      <c r="G53" s="73"/>
      <c r="H53" s="73"/>
    </row>
    <row r="54" spans="1:8" ht="12.75">
      <c r="A54" s="83" t="s">
        <v>125</v>
      </c>
      <c r="B54" s="57">
        <f>G41</f>
        <v>200</v>
      </c>
      <c r="C54" s="90">
        <f>H41</f>
        <v>1.3333333333333333</v>
      </c>
      <c r="E54" s="73"/>
      <c r="F54" s="73"/>
      <c r="G54" s="73"/>
      <c r="H54" s="73"/>
    </row>
    <row r="55" spans="1:8" ht="13.5" thickBot="1">
      <c r="A55" s="83" t="s">
        <v>16</v>
      </c>
      <c r="B55" s="91">
        <f>G43</f>
        <v>1665</v>
      </c>
      <c r="C55" s="92">
        <f>H43</f>
        <v>11.1</v>
      </c>
      <c r="G55" s="23"/>
      <c r="H55" s="23"/>
    </row>
    <row r="56" spans="1:8" ht="12.75">
      <c r="A56" s="83" t="s">
        <v>20</v>
      </c>
      <c r="B56" s="57">
        <f>SUM(B53:B55)</f>
        <v>6317</v>
      </c>
      <c r="C56" s="90">
        <f>SUM(C53:C55)</f>
        <v>42.11333333333333</v>
      </c>
      <c r="G56" s="84"/>
      <c r="H56" s="73"/>
    </row>
    <row r="57" spans="1:3" ht="13.5" thickBot="1">
      <c r="A57" s="83"/>
      <c r="B57" s="93"/>
      <c r="C57" s="94"/>
    </row>
    <row r="58" spans="1:7" ht="13.5" thickBot="1">
      <c r="A58" s="95" t="s">
        <v>18</v>
      </c>
      <c r="B58" s="91">
        <f>B51+B56</f>
        <v>19317</v>
      </c>
      <c r="C58" s="92">
        <f>C51+C56</f>
        <v>128.78</v>
      </c>
      <c r="D58" s="51"/>
      <c r="E58" s="51"/>
      <c r="F58" s="51"/>
      <c r="G58" s="23"/>
    </row>
    <row r="59" spans="4:7" ht="12.75">
      <c r="D59" s="73"/>
      <c r="E59" s="73"/>
      <c r="F59" s="73"/>
      <c r="G59" s="23"/>
    </row>
    <row r="60" spans="4:7" ht="12.75">
      <c r="D60" s="73"/>
      <c r="E60" s="73"/>
      <c r="F60" s="73"/>
      <c r="G60" s="23"/>
    </row>
    <row r="61" spans="4:7" ht="12.75">
      <c r="D61" s="73"/>
      <c r="E61" s="73"/>
      <c r="F61" s="73"/>
      <c r="G61" s="23"/>
    </row>
    <row r="62" spans="4:7" ht="12.75">
      <c r="D62" s="73"/>
      <c r="E62" s="73"/>
      <c r="F62" s="73"/>
      <c r="G62" s="23"/>
    </row>
    <row r="63" spans="4:7" ht="12.75">
      <c r="D63" s="45"/>
      <c r="E63" s="45"/>
      <c r="F63" s="45"/>
      <c r="G63" s="23"/>
    </row>
    <row r="64" spans="4:7" ht="12.75">
      <c r="D64" s="73"/>
      <c r="E64" s="73"/>
      <c r="F64" s="73"/>
      <c r="G64" s="23"/>
    </row>
    <row r="65" spans="4:7" ht="12.75">
      <c r="D65" s="54"/>
      <c r="E65" s="54"/>
      <c r="F65" s="54"/>
      <c r="G65" s="23"/>
    </row>
    <row r="66" spans="4:7" ht="5.25" customHeight="1">
      <c r="D66" s="54"/>
      <c r="E66" s="54"/>
      <c r="F66" s="54"/>
      <c r="G66" s="23"/>
    </row>
    <row r="67" spans="4:8" ht="12.75">
      <c r="D67" s="54"/>
      <c r="E67" s="54"/>
      <c r="F67" s="54"/>
      <c r="G67" s="23"/>
      <c r="H67" s="56"/>
    </row>
    <row r="68" spans="4:7" ht="12.75">
      <c r="D68" s="54"/>
      <c r="E68" s="54"/>
      <c r="F68" s="54"/>
      <c r="G68" s="23"/>
    </row>
  </sheetData>
  <sheetProtection/>
  <mergeCells count="6">
    <mergeCell ref="C39:D39"/>
    <mergeCell ref="E39:F39"/>
    <mergeCell ref="C16:D16"/>
    <mergeCell ref="E16:F16"/>
    <mergeCell ref="C21:D21"/>
    <mergeCell ref="E21:F21"/>
  </mergeCells>
  <hyperlinks>
    <hyperlink ref="B4" r:id="rId1" display="http://www.aae.wisc.edu/mitchell/extension.htm "/>
    <hyperlink ref="A5" r:id="rId2" display="pdmitchell@wisc.edu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21" customWidth="1"/>
    <col min="2" max="2" width="13.00390625" style="21" customWidth="1"/>
    <col min="3" max="3" width="15.00390625" style="19" customWidth="1"/>
    <col min="4" max="4" width="10.7109375" style="21" bestFit="1" customWidth="1"/>
    <col min="5" max="16384" width="8.8515625" style="21" customWidth="1"/>
  </cols>
  <sheetData>
    <row r="1" ht="17.25">
      <c r="A1" s="20" t="s">
        <v>92</v>
      </c>
    </row>
    <row r="2" ht="12.75">
      <c r="A2" s="21" t="s">
        <v>93</v>
      </c>
    </row>
    <row r="3" spans="1:3" ht="12.75">
      <c r="A3" s="21" t="s">
        <v>96</v>
      </c>
      <c r="B3" s="22" t="s">
        <v>95</v>
      </c>
      <c r="C3" s="21"/>
    </row>
    <row r="4" ht="12.75">
      <c r="A4" s="22" t="s">
        <v>94</v>
      </c>
    </row>
    <row r="5" ht="6" customHeight="1"/>
    <row r="6" ht="12.75">
      <c r="A6" s="23" t="s">
        <v>97</v>
      </c>
    </row>
    <row r="7" ht="12.75">
      <c r="A7" s="21" t="s">
        <v>105</v>
      </c>
    </row>
    <row r="8" spans="1:11" s="24" customFormat="1" ht="12.75">
      <c r="A8" s="23" t="s">
        <v>104</v>
      </c>
      <c r="D8" s="25"/>
      <c r="E8" s="98" t="s">
        <v>126</v>
      </c>
      <c r="F8" s="99"/>
      <c r="G8" s="99"/>
      <c r="H8" s="99"/>
      <c r="I8" s="99"/>
      <c r="J8" s="99"/>
      <c r="K8" s="100"/>
    </row>
    <row r="9" ht="6" customHeight="1"/>
    <row r="10" spans="2:3" ht="12.75">
      <c r="B10" s="19" t="s">
        <v>21</v>
      </c>
      <c r="C10" s="19" t="s">
        <v>22</v>
      </c>
    </row>
    <row r="11" spans="1:3" ht="12.75">
      <c r="A11" s="21" t="s">
        <v>23</v>
      </c>
      <c r="B11" s="4">
        <v>1500</v>
      </c>
      <c r="C11" s="26">
        <f>1.241+(33.026/B11)</f>
        <v>1.2630173333333334</v>
      </c>
    </row>
    <row r="12" spans="1:11" ht="17.25">
      <c r="A12" s="20" t="s">
        <v>24</v>
      </c>
      <c r="C12" s="27" t="s">
        <v>25</v>
      </c>
      <c r="D12" s="27" t="s">
        <v>26</v>
      </c>
      <c r="E12" s="28" t="s">
        <v>106</v>
      </c>
      <c r="F12" s="29"/>
      <c r="G12" s="29"/>
      <c r="H12" s="29"/>
      <c r="I12" s="29"/>
      <c r="J12" s="29"/>
      <c r="K12" s="29"/>
    </row>
    <row r="13" spans="1:11" ht="12.75">
      <c r="A13" s="5" t="s">
        <v>27</v>
      </c>
      <c r="C13" s="1">
        <v>15.2</v>
      </c>
      <c r="D13" s="30">
        <f aca="true" t="shared" si="0" ref="D13:D22">C13*$C$11</f>
        <v>19.197863466666668</v>
      </c>
      <c r="E13" s="101" t="s">
        <v>126</v>
      </c>
      <c r="F13" s="102"/>
      <c r="G13" s="102"/>
      <c r="H13" s="102"/>
      <c r="I13" s="102"/>
      <c r="J13" s="102"/>
      <c r="K13" s="103"/>
    </row>
    <row r="14" spans="1:4" ht="12.75">
      <c r="A14" s="5" t="s">
        <v>28</v>
      </c>
      <c r="C14" s="1">
        <v>12.5</v>
      </c>
      <c r="D14" s="30">
        <f t="shared" si="0"/>
        <v>15.787716666666668</v>
      </c>
    </row>
    <row r="15" spans="1:9" ht="12.75">
      <c r="A15" s="5" t="s">
        <v>29</v>
      </c>
      <c r="C15" s="1">
        <v>13.25</v>
      </c>
      <c r="D15" s="30">
        <f t="shared" si="0"/>
        <v>16.734979666666668</v>
      </c>
      <c r="E15" s="28" t="s">
        <v>130</v>
      </c>
      <c r="F15" s="29"/>
      <c r="G15" s="29"/>
      <c r="H15" s="29"/>
      <c r="I15" s="29"/>
    </row>
    <row r="16" spans="1:9" ht="12.75">
      <c r="A16" s="5" t="s">
        <v>30</v>
      </c>
      <c r="C16" s="1">
        <v>7</v>
      </c>
      <c r="D16" s="30">
        <f t="shared" si="0"/>
        <v>8.841121333333334</v>
      </c>
      <c r="E16" s="101" t="s">
        <v>129</v>
      </c>
      <c r="F16" s="104"/>
      <c r="G16" s="104"/>
      <c r="H16" s="104"/>
      <c r="I16" s="104"/>
    </row>
    <row r="17" spans="1:4" ht="12.75">
      <c r="A17" s="5" t="s">
        <v>31</v>
      </c>
      <c r="C17" s="1">
        <v>9</v>
      </c>
      <c r="D17" s="30">
        <f t="shared" si="0"/>
        <v>11.367156000000001</v>
      </c>
    </row>
    <row r="18" spans="1:4" ht="12.75">
      <c r="A18" s="5" t="s">
        <v>32</v>
      </c>
      <c r="C18" s="2">
        <v>23.8</v>
      </c>
      <c r="D18" s="31">
        <f t="shared" si="0"/>
        <v>30.059812533333336</v>
      </c>
    </row>
    <row r="19" spans="1:4" ht="12.75">
      <c r="A19" s="6" t="s">
        <v>98</v>
      </c>
      <c r="C19" s="2">
        <v>0</v>
      </c>
      <c r="D19" s="31">
        <f t="shared" si="0"/>
        <v>0</v>
      </c>
    </row>
    <row r="20" spans="1:4" ht="12.75">
      <c r="A20" s="6" t="s">
        <v>98</v>
      </c>
      <c r="C20" s="2">
        <v>0</v>
      </c>
      <c r="D20" s="31">
        <f t="shared" si="0"/>
        <v>0</v>
      </c>
    </row>
    <row r="21" spans="1:4" ht="12.75">
      <c r="A21" s="6" t="s">
        <v>98</v>
      </c>
      <c r="C21" s="2">
        <v>0</v>
      </c>
      <c r="D21" s="31">
        <f t="shared" si="0"/>
        <v>0</v>
      </c>
    </row>
    <row r="22" spans="1:4" ht="13.5" thickBot="1">
      <c r="A22" s="6" t="s">
        <v>98</v>
      </c>
      <c r="C22" s="2">
        <v>0</v>
      </c>
      <c r="D22" s="31">
        <f t="shared" si="0"/>
        <v>0</v>
      </c>
    </row>
    <row r="23" spans="2:4" ht="13.5" thickBot="1">
      <c r="B23" s="32"/>
      <c r="C23" s="33" t="s">
        <v>24</v>
      </c>
      <c r="D23" s="34">
        <f>SUM(D13:D22)</f>
        <v>101.98864966666667</v>
      </c>
    </row>
    <row r="24" ht="6" customHeight="1">
      <c r="A24" s="18"/>
    </row>
    <row r="25" ht="17.25">
      <c r="A25" s="20" t="s">
        <v>33</v>
      </c>
    </row>
    <row r="26" spans="1:4" ht="12.75">
      <c r="A26" s="35" t="s">
        <v>34</v>
      </c>
      <c r="B26" s="18" t="s">
        <v>35</v>
      </c>
      <c r="C26" s="18" t="s">
        <v>36</v>
      </c>
      <c r="D26" s="18" t="s">
        <v>37</v>
      </c>
    </row>
    <row r="27" spans="1:4" ht="12.75">
      <c r="A27" s="5" t="s">
        <v>38</v>
      </c>
      <c r="B27" s="1">
        <v>0.35</v>
      </c>
      <c r="C27" s="8">
        <v>190</v>
      </c>
      <c r="D27" s="36">
        <f aca="true" t="shared" si="1" ref="D27:D32">B27*C27</f>
        <v>66.5</v>
      </c>
    </row>
    <row r="28" spans="1:4" ht="12.75">
      <c r="A28" s="5" t="s">
        <v>39</v>
      </c>
      <c r="B28" s="1">
        <v>0.33</v>
      </c>
      <c r="C28" s="8">
        <v>10</v>
      </c>
      <c r="D28" s="36">
        <f t="shared" si="1"/>
        <v>3.3000000000000003</v>
      </c>
    </row>
    <row r="29" spans="1:4" ht="12.75">
      <c r="A29" s="5" t="s">
        <v>40</v>
      </c>
      <c r="B29" s="2">
        <v>0.18</v>
      </c>
      <c r="C29" s="3">
        <v>30</v>
      </c>
      <c r="D29" s="17">
        <f t="shared" si="1"/>
        <v>5.3999999999999995</v>
      </c>
    </row>
    <row r="30" spans="1:4" ht="12.75">
      <c r="A30" s="6" t="s">
        <v>100</v>
      </c>
      <c r="B30" s="2">
        <v>0</v>
      </c>
      <c r="C30" s="3">
        <v>0</v>
      </c>
      <c r="D30" s="17">
        <f t="shared" si="1"/>
        <v>0</v>
      </c>
    </row>
    <row r="31" spans="1:4" ht="12.75">
      <c r="A31" s="6" t="s">
        <v>100</v>
      </c>
      <c r="B31" s="2">
        <v>0</v>
      </c>
      <c r="C31" s="3">
        <v>0</v>
      </c>
      <c r="D31" s="17">
        <f t="shared" si="1"/>
        <v>0</v>
      </c>
    </row>
    <row r="32" spans="1:4" ht="13.5" thickBot="1">
      <c r="A32" s="6" t="s">
        <v>100</v>
      </c>
      <c r="B32" s="2">
        <v>0</v>
      </c>
      <c r="C32" s="3">
        <v>0</v>
      </c>
      <c r="D32" s="17">
        <f t="shared" si="1"/>
        <v>0</v>
      </c>
    </row>
    <row r="33" spans="2:4" ht="13.5" thickBot="1">
      <c r="B33" s="37"/>
      <c r="C33" s="38" t="s">
        <v>41</v>
      </c>
      <c r="D33" s="34">
        <f>SUM(D27:D32)</f>
        <v>75.2</v>
      </c>
    </row>
    <row r="34" spans="2:4" ht="4.5" customHeight="1">
      <c r="B34" s="18"/>
      <c r="C34" s="18"/>
      <c r="D34" s="18"/>
    </row>
    <row r="35" spans="1:4" ht="12.75">
      <c r="A35" s="39" t="s">
        <v>42</v>
      </c>
      <c r="B35" s="18" t="s">
        <v>43</v>
      </c>
      <c r="C35" s="18" t="s">
        <v>44</v>
      </c>
      <c r="D35" s="18" t="s">
        <v>37</v>
      </c>
    </row>
    <row r="36" spans="1:4" ht="12.75">
      <c r="A36" s="5" t="s">
        <v>45</v>
      </c>
      <c r="B36" s="1">
        <v>6.5</v>
      </c>
      <c r="C36" s="8">
        <v>1.5</v>
      </c>
      <c r="D36" s="36">
        <f aca="true" t="shared" si="2" ref="D36:D42">B36*C36</f>
        <v>9.75</v>
      </c>
    </row>
    <row r="37" spans="1:4" ht="12.75">
      <c r="A37" s="5" t="s">
        <v>46</v>
      </c>
      <c r="B37" s="1">
        <v>2.8</v>
      </c>
      <c r="C37" s="8">
        <v>0.75</v>
      </c>
      <c r="D37" s="36">
        <f t="shared" si="2"/>
        <v>2.0999999999999996</v>
      </c>
    </row>
    <row r="38" spans="1:4" ht="12.75">
      <c r="A38" s="5" t="s">
        <v>47</v>
      </c>
      <c r="B38" s="2">
        <v>18</v>
      </c>
      <c r="C38" s="3">
        <v>1</v>
      </c>
      <c r="D38" s="17">
        <f t="shared" si="2"/>
        <v>18</v>
      </c>
    </row>
    <row r="39" spans="1:4" ht="12.75">
      <c r="A39" s="6" t="s">
        <v>101</v>
      </c>
      <c r="B39" s="2">
        <v>0</v>
      </c>
      <c r="C39" s="3">
        <v>0</v>
      </c>
      <c r="D39" s="17">
        <f t="shared" si="2"/>
        <v>0</v>
      </c>
    </row>
    <row r="40" spans="1:4" ht="12.75">
      <c r="A40" s="6" t="s">
        <v>101</v>
      </c>
      <c r="B40" s="2">
        <v>0</v>
      </c>
      <c r="C40" s="3">
        <v>0</v>
      </c>
      <c r="D40" s="17">
        <f t="shared" si="2"/>
        <v>0</v>
      </c>
    </row>
    <row r="41" spans="1:4" ht="12.75">
      <c r="A41" s="6" t="s">
        <v>101</v>
      </c>
      <c r="B41" s="2">
        <v>0</v>
      </c>
      <c r="C41" s="3">
        <v>0</v>
      </c>
      <c r="D41" s="17">
        <f t="shared" si="2"/>
        <v>0</v>
      </c>
    </row>
    <row r="42" spans="1:4" ht="13.5" thickBot="1">
      <c r="A42" s="6" t="s">
        <v>101</v>
      </c>
      <c r="B42" s="2">
        <v>0</v>
      </c>
      <c r="C42" s="3">
        <v>0</v>
      </c>
      <c r="D42" s="17">
        <f t="shared" si="2"/>
        <v>0</v>
      </c>
    </row>
    <row r="43" spans="2:4" ht="13.5" thickBot="1">
      <c r="B43" s="37"/>
      <c r="C43" s="38" t="s">
        <v>48</v>
      </c>
      <c r="D43" s="34">
        <f>SUM(D35:D42)</f>
        <v>29.85</v>
      </c>
    </row>
    <row r="44" spans="2:4" ht="5.25" customHeight="1">
      <c r="B44" s="18"/>
      <c r="C44" s="18"/>
      <c r="D44" s="40"/>
    </row>
    <row r="45" spans="1:4" ht="12.75">
      <c r="A45" s="39" t="s">
        <v>49</v>
      </c>
      <c r="B45" s="18" t="s">
        <v>50</v>
      </c>
      <c r="C45" s="18" t="s">
        <v>131</v>
      </c>
      <c r="D45" s="18" t="s">
        <v>37</v>
      </c>
    </row>
    <row r="46" spans="1:4" ht="12.75">
      <c r="A46" s="21" t="s">
        <v>51</v>
      </c>
      <c r="B46" s="2">
        <v>110</v>
      </c>
      <c r="C46" s="105">
        <v>34000</v>
      </c>
      <c r="D46" s="17">
        <f>B46*C46/80000</f>
        <v>46.75</v>
      </c>
    </row>
    <row r="47" spans="2:4" ht="13.5" thickBot="1">
      <c r="B47" s="31"/>
      <c r="C47" s="27"/>
      <c r="D47" s="17"/>
    </row>
    <row r="48" spans="2:4" ht="13.5" thickBot="1">
      <c r="B48" s="37"/>
      <c r="C48" s="38" t="s">
        <v>52</v>
      </c>
      <c r="D48" s="34">
        <f>SUM(D46)</f>
        <v>46.75</v>
      </c>
    </row>
    <row r="49" spans="2:4" ht="4.5" customHeight="1">
      <c r="B49" s="18"/>
      <c r="C49" s="18"/>
      <c r="D49" s="40"/>
    </row>
    <row r="50" spans="1:4" ht="12.75">
      <c r="A50" s="39" t="s">
        <v>53</v>
      </c>
      <c r="B50" s="18" t="s">
        <v>127</v>
      </c>
      <c r="C50" s="18"/>
      <c r="D50" s="18" t="s">
        <v>37</v>
      </c>
    </row>
    <row r="51" spans="1:4" ht="12.75">
      <c r="A51" s="21" t="s">
        <v>128</v>
      </c>
      <c r="B51" s="16">
        <v>0.07</v>
      </c>
      <c r="C51" s="18"/>
      <c r="D51" s="17">
        <f>SUM(D33,D43,D48,D52)*B51*(8/12)</f>
        <v>7.364000000000001</v>
      </c>
    </row>
    <row r="52" spans="1:4" ht="12.75">
      <c r="A52" s="5" t="s">
        <v>108</v>
      </c>
      <c r="B52" s="18"/>
      <c r="C52" s="18"/>
      <c r="D52" s="7">
        <v>6</v>
      </c>
    </row>
    <row r="53" spans="1:4" ht="12.75">
      <c r="A53" s="6" t="s">
        <v>99</v>
      </c>
      <c r="B53" s="30"/>
      <c r="C53" s="18"/>
      <c r="D53" s="7">
        <v>0</v>
      </c>
    </row>
    <row r="54" spans="1:4" ht="13.5" thickBot="1">
      <c r="A54" s="6" t="s">
        <v>99</v>
      </c>
      <c r="D54" s="7">
        <v>0</v>
      </c>
    </row>
    <row r="55" spans="2:4" ht="13.5" thickBot="1">
      <c r="B55" s="37"/>
      <c r="C55" s="38" t="s">
        <v>54</v>
      </c>
      <c r="D55" s="34">
        <f>SUM(D51:D54)</f>
        <v>13.364</v>
      </c>
    </row>
    <row r="56" spans="2:4" ht="13.5" thickBot="1">
      <c r="B56" s="18"/>
      <c r="C56" s="18"/>
      <c r="D56" s="18"/>
    </row>
    <row r="57" spans="2:4" ht="13.5" thickBot="1">
      <c r="B57" s="37"/>
      <c r="C57" s="38" t="s">
        <v>55</v>
      </c>
      <c r="D57" s="34">
        <f>SUM(D33+D43+D48+D55)</f>
        <v>165.16400000000002</v>
      </c>
    </row>
    <row r="58" spans="2:4" ht="5.25" customHeight="1">
      <c r="B58" s="18"/>
      <c r="C58" s="18"/>
      <c r="D58" s="36"/>
    </row>
    <row r="59" spans="1:4" ht="17.25">
      <c r="A59" s="20" t="s">
        <v>56</v>
      </c>
      <c r="B59" s="18"/>
      <c r="C59" s="18"/>
      <c r="D59" s="18" t="s">
        <v>37</v>
      </c>
    </row>
    <row r="60" spans="1:8" ht="12.75">
      <c r="A60" s="21" t="s">
        <v>57</v>
      </c>
      <c r="B60" s="18"/>
      <c r="C60" s="18"/>
      <c r="D60" s="36">
        <f>'Irrigation Cost'!C51</f>
        <v>86.66666666666667</v>
      </c>
      <c r="E60" s="28" t="s">
        <v>103</v>
      </c>
      <c r="F60" s="28"/>
      <c r="G60" s="28"/>
      <c r="H60" s="28"/>
    </row>
    <row r="61" spans="1:8" ht="13.5" thickBot="1">
      <c r="A61" s="21" t="s">
        <v>58</v>
      </c>
      <c r="B61" s="18"/>
      <c r="C61" s="18"/>
      <c r="D61" s="36">
        <f>'Irrigation Cost'!C56</f>
        <v>42.11333333333333</v>
      </c>
      <c r="E61" s="28" t="s">
        <v>103</v>
      </c>
      <c r="F61" s="28"/>
      <c r="G61" s="28"/>
      <c r="H61" s="28"/>
    </row>
    <row r="62" spans="2:4" ht="13.5" thickBot="1">
      <c r="B62" s="37"/>
      <c r="C62" s="38" t="s">
        <v>59</v>
      </c>
      <c r="D62" s="34">
        <f>SUM(D60:D61)</f>
        <v>128.78</v>
      </c>
    </row>
    <row r="63" spans="2:4" ht="3.75" customHeight="1">
      <c r="B63" s="18"/>
      <c r="C63" s="18"/>
      <c r="D63" s="36"/>
    </row>
    <row r="64" spans="1:4" ht="17.25">
      <c r="A64" s="20" t="s">
        <v>60</v>
      </c>
      <c r="B64" s="18" t="s">
        <v>102</v>
      </c>
      <c r="C64" s="18"/>
      <c r="D64" s="18" t="s">
        <v>61</v>
      </c>
    </row>
    <row r="65" spans="1:4" ht="12.75">
      <c r="A65" s="21" t="s">
        <v>62</v>
      </c>
      <c r="B65" s="1">
        <v>0.06</v>
      </c>
      <c r="C65" s="18"/>
      <c r="D65" s="36">
        <f>B65*B78</f>
        <v>13.2</v>
      </c>
    </row>
    <row r="66" ht="6" customHeight="1"/>
    <row r="67" spans="2:4" ht="12.75">
      <c r="B67" s="18" t="s">
        <v>63</v>
      </c>
      <c r="C67" s="18" t="s">
        <v>132</v>
      </c>
      <c r="D67" s="18" t="s">
        <v>61</v>
      </c>
    </row>
    <row r="68" spans="1:4" ht="13.5" thickBot="1">
      <c r="A68" s="21" t="s">
        <v>133</v>
      </c>
      <c r="B68" s="1">
        <v>1.8</v>
      </c>
      <c r="C68" s="16">
        <v>0.04</v>
      </c>
      <c r="D68" s="36">
        <f>0.02*C68*100*B68*B78</f>
        <v>31.680000000000003</v>
      </c>
    </row>
    <row r="69" spans="2:4" ht="13.5" thickBot="1">
      <c r="B69" s="37"/>
      <c r="C69" s="38" t="s">
        <v>64</v>
      </c>
      <c r="D69" s="34">
        <f>SUM(D65:D65)+D68</f>
        <v>44.88</v>
      </c>
    </row>
    <row r="70" spans="2:4" ht="4.5" customHeight="1">
      <c r="B70" s="18"/>
      <c r="C70" s="18"/>
      <c r="D70" s="18"/>
    </row>
    <row r="71" spans="1:3" ht="17.25">
      <c r="A71" s="41" t="s">
        <v>65</v>
      </c>
      <c r="B71" s="18" t="s">
        <v>61</v>
      </c>
      <c r="C71" s="19" t="s">
        <v>66</v>
      </c>
    </row>
    <row r="72" spans="1:3" ht="12.75">
      <c r="A72" s="18" t="s">
        <v>67</v>
      </c>
      <c r="B72" s="36">
        <f>D23</f>
        <v>101.98864966666667</v>
      </c>
      <c r="C72" s="42">
        <f>B72/$B$76</f>
        <v>0.23136507027143702</v>
      </c>
    </row>
    <row r="73" spans="1:3" ht="12.75">
      <c r="A73" s="18" t="s">
        <v>68</v>
      </c>
      <c r="B73" s="36">
        <f>D57</f>
        <v>165.16400000000002</v>
      </c>
      <c r="C73" s="42">
        <f>B73/$B$76</f>
        <v>0.3746807178171806</v>
      </c>
    </row>
    <row r="74" spans="1:3" ht="12.75">
      <c r="A74" s="18" t="s">
        <v>69</v>
      </c>
      <c r="B74" s="36">
        <f>D62</f>
        <v>128.78</v>
      </c>
      <c r="C74" s="42">
        <f>B74/$B$76</f>
        <v>0.2921422515832537</v>
      </c>
    </row>
    <row r="75" spans="1:3" ht="12.75">
      <c r="A75" s="18" t="s">
        <v>64</v>
      </c>
      <c r="B75" s="36">
        <f>D69</f>
        <v>44.88</v>
      </c>
      <c r="C75" s="42">
        <f>B75/$B$76</f>
        <v>0.1018119603281288</v>
      </c>
    </row>
    <row r="76" spans="1:2" ht="12.75">
      <c r="A76" s="18" t="s">
        <v>70</v>
      </c>
      <c r="B76" s="36">
        <f>SUM(B72:B75)</f>
        <v>440.81264966666663</v>
      </c>
    </row>
    <row r="77" ht="3.75" customHeight="1"/>
    <row r="78" spans="1:2" ht="12.75">
      <c r="A78" s="18" t="s">
        <v>71</v>
      </c>
      <c r="B78" s="8">
        <v>220</v>
      </c>
    </row>
    <row r="79" spans="1:2" ht="12.75">
      <c r="A79" s="18" t="s">
        <v>72</v>
      </c>
      <c r="B79" s="1">
        <v>2</v>
      </c>
    </row>
    <row r="80" spans="1:2" ht="12.75">
      <c r="A80" s="18" t="s">
        <v>73</v>
      </c>
      <c r="B80" s="36">
        <f>B78*B79</f>
        <v>440</v>
      </c>
    </row>
    <row r="81" ht="3.75" customHeight="1" thickBot="1"/>
    <row r="82" spans="1:2" ht="13.5" thickBot="1">
      <c r="A82" s="37" t="s">
        <v>74</v>
      </c>
      <c r="B82" s="43">
        <f>B80-B76</f>
        <v>-0.8126496666666299</v>
      </c>
    </row>
  </sheetData>
  <sheetProtection password="AD17" sheet="1" objects="1" scenarios="1"/>
  <mergeCells count="3">
    <mergeCell ref="E8:K8"/>
    <mergeCell ref="E13:K13"/>
    <mergeCell ref="E16:I16"/>
  </mergeCells>
  <hyperlinks>
    <hyperlink ref="B3" r:id="rId1" display="http://www.aae.wisc.edu/mitchell/extension.htm "/>
    <hyperlink ref="A4" r:id="rId2" display="pdmitchell@wisc.edu"/>
    <hyperlink ref="E8" r:id="rId3" display="http://www.aae.wisc.edu/mitchell/Fast and Simple Method.pdf "/>
    <hyperlink ref="E13" r:id="rId4" display="http://www.aae.wisc.edu/mitchell/Fast and Simple Method.pdf "/>
    <hyperlink ref="E16" r:id="rId5" display="http://www.nass.usda.gov/wi/custom_rate_2004.pdf"/>
  </hyperlinks>
  <printOptions/>
  <pageMargins left="0.75" right="0.75" top="1" bottom="1" header="0.5" footer="0.5"/>
  <pageSetup horizontalDpi="600" verticalDpi="600" orientation="portrait" r:id="rId6"/>
  <ignoredErrors>
    <ignoredError sqref="D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Mitchell</dc:creator>
  <cp:keywords/>
  <dc:description/>
  <cp:lastModifiedBy>Paul Mitchell</cp:lastModifiedBy>
  <dcterms:created xsi:type="dcterms:W3CDTF">2005-10-24T22:01:51Z</dcterms:created>
  <dcterms:modified xsi:type="dcterms:W3CDTF">2006-02-01T22:57:54Z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